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tabRatio="916" activeTab="0"/>
  </bookViews>
  <sheets>
    <sheet name="Logement (1)" sheetId="1" r:id="rId1"/>
    <sheet name="Apports occupants (2)" sheetId="2" r:id="rId2"/>
    <sheet name="Apports solaires (3)" sheetId="3" r:id="rId3"/>
    <sheet name="Apports récupérables ECS (4)" sheetId="4" r:id="rId4"/>
    <sheet name="Durée saison CH (5)" sheetId="5" r:id="rId5"/>
    <sheet name="Apports récupérables CH (6)" sheetId="6" r:id="rId6"/>
    <sheet name="Inertie thermique (7)" sheetId="7" r:id="rId7"/>
    <sheet name="Besoins en chauffage (8)" sheetId="8" r:id="rId8"/>
    <sheet name="Besoins en ECS (9)" sheetId="9" r:id="rId9"/>
    <sheet name="Rendement chauffage (10)" sheetId="10" r:id="rId10"/>
    <sheet name="Rendement ECS (11)" sheetId="11" r:id="rId11"/>
    <sheet name="Auxiliaires (12)" sheetId="12" r:id="rId12"/>
    <sheet name="Résultats (13)" sheetId="13" r:id="rId13"/>
    <sheet name="Graphique des résultats" sheetId="14" r:id="rId14"/>
    <sheet name="G" sheetId="15" state="hidden" r:id="rId15"/>
    <sheet name="T" sheetId="16" state="hidden" r:id="rId16"/>
  </sheets>
  <definedNames/>
  <calcPr fullCalcOnLoad="1"/>
</workbook>
</file>

<file path=xl/sharedStrings.xml><?xml version="1.0" encoding="utf-8"?>
<sst xmlns="http://schemas.openxmlformats.org/spreadsheetml/2006/main" count="3640" uniqueCount="515">
  <si>
    <t>Données générales du logement</t>
  </si>
  <si>
    <t>Nombre d'occupants :</t>
  </si>
  <si>
    <t>Zone H2</t>
  </si>
  <si>
    <t>Coefficient H :</t>
  </si>
  <si>
    <t>-</t>
  </si>
  <si>
    <t>W/K</t>
  </si>
  <si>
    <t>Mois considéré :</t>
  </si>
  <si>
    <t>°C</t>
  </si>
  <si>
    <t>h</t>
  </si>
  <si>
    <t>décembre</t>
  </si>
  <si>
    <r>
      <t>Q</t>
    </r>
    <r>
      <rPr>
        <vertAlign val="subscript"/>
        <sz val="10"/>
        <rFont val="Arial"/>
        <family val="2"/>
      </rPr>
      <t>I</t>
    </r>
    <r>
      <rPr>
        <sz val="10"/>
        <rFont val="Arial"/>
        <family val="0"/>
      </rPr>
      <t xml:space="preserve"> par heure :</t>
    </r>
  </si>
  <si>
    <r>
      <t>Q</t>
    </r>
    <r>
      <rPr>
        <vertAlign val="subscript"/>
        <sz val="10"/>
        <rFont val="Arial"/>
        <family val="2"/>
      </rPr>
      <t>I</t>
    </r>
    <r>
      <rPr>
        <sz val="10"/>
        <rFont val="Arial"/>
        <family val="0"/>
      </rPr>
      <t xml:space="preserve"> pour la journée :</t>
    </r>
  </si>
  <si>
    <t>W</t>
  </si>
  <si>
    <t>Type de menuiserie :</t>
  </si>
  <si>
    <t>Surfaces des ouvertures</t>
  </si>
  <si>
    <t>Surface totale Nord :</t>
  </si>
  <si>
    <t>Surface totale Est :</t>
  </si>
  <si>
    <t>Surface totale Sud :</t>
  </si>
  <si>
    <t>Surface totale Ouest :</t>
  </si>
  <si>
    <t>Aire réceptrices équivalentes</t>
  </si>
  <si>
    <t>Aire Nord :</t>
  </si>
  <si>
    <t>Aire Est :</t>
  </si>
  <si>
    <t>Aire Sud :</t>
  </si>
  <si>
    <t>Aire Ouest :</t>
  </si>
  <si>
    <t>m²</t>
  </si>
  <si>
    <t>Correction Nord :</t>
  </si>
  <si>
    <t>Correction Est :</t>
  </si>
  <si>
    <t>Correction Sud :</t>
  </si>
  <si>
    <t>Correction Ouest :</t>
  </si>
  <si>
    <r>
      <t>Q</t>
    </r>
    <r>
      <rPr>
        <vertAlign val="subscript"/>
        <sz val="10"/>
        <rFont val="Arial"/>
        <family val="2"/>
      </rPr>
      <t>S</t>
    </r>
    <r>
      <rPr>
        <sz val="10"/>
        <rFont val="Arial"/>
        <family val="0"/>
      </rPr>
      <t xml:space="preserve"> Nord</t>
    </r>
  </si>
  <si>
    <r>
      <t>Q</t>
    </r>
    <r>
      <rPr>
        <vertAlign val="subscript"/>
        <sz val="10"/>
        <rFont val="Arial"/>
        <family val="2"/>
      </rPr>
      <t>S</t>
    </r>
    <r>
      <rPr>
        <sz val="10"/>
        <rFont val="Arial"/>
        <family val="0"/>
      </rPr>
      <t xml:space="preserve"> Est</t>
    </r>
  </si>
  <si>
    <r>
      <t>Q</t>
    </r>
    <r>
      <rPr>
        <vertAlign val="subscript"/>
        <sz val="10"/>
        <rFont val="Arial"/>
        <family val="2"/>
      </rPr>
      <t>S</t>
    </r>
    <r>
      <rPr>
        <sz val="10"/>
        <rFont val="Arial"/>
        <family val="0"/>
      </rPr>
      <t xml:space="preserve"> Sud</t>
    </r>
  </si>
  <si>
    <r>
      <t>Q</t>
    </r>
    <r>
      <rPr>
        <vertAlign val="subscript"/>
        <sz val="10"/>
        <rFont val="Arial"/>
        <family val="2"/>
      </rPr>
      <t>S</t>
    </r>
    <r>
      <rPr>
        <sz val="10"/>
        <rFont val="Arial"/>
        <family val="0"/>
      </rPr>
      <t xml:space="preserve"> Ouest</t>
    </r>
  </si>
  <si>
    <t>Total :</t>
  </si>
  <si>
    <t>janvier</t>
  </si>
  <si>
    <t>février</t>
  </si>
  <si>
    <t>mars</t>
  </si>
  <si>
    <t>avril</t>
  </si>
  <si>
    <t>mai</t>
  </si>
  <si>
    <t>juin</t>
  </si>
  <si>
    <t>juillet</t>
  </si>
  <si>
    <t>août</t>
  </si>
  <si>
    <t>septembre</t>
  </si>
  <si>
    <t>octobre</t>
  </si>
  <si>
    <t>novembre</t>
  </si>
  <si>
    <t>Surface totale horizontale :</t>
  </si>
  <si>
    <t>Nord :</t>
  </si>
  <si>
    <t>Est :</t>
  </si>
  <si>
    <t>Sud :</t>
  </si>
  <si>
    <t>Ouest :</t>
  </si>
  <si>
    <t>Horizontale :</t>
  </si>
  <si>
    <t>Zone H3 Horizontale :</t>
  </si>
  <si>
    <t>Zone H2 Horizontale :</t>
  </si>
  <si>
    <t>Zone H1 Horizontale :</t>
  </si>
  <si>
    <t>Zone H1 Nord :</t>
  </si>
  <si>
    <t>Zone H1 Est :</t>
  </si>
  <si>
    <t>Zone H1 Sud :</t>
  </si>
  <si>
    <t>Zone H1 Ouest :</t>
  </si>
  <si>
    <t>Zone H2 Nord :</t>
  </si>
  <si>
    <t>Zone H2 Est :</t>
  </si>
  <si>
    <t>Zone H2 Sud :</t>
  </si>
  <si>
    <t>Zone H2 Ouest :</t>
  </si>
  <si>
    <t>Zone H3 Nord :</t>
  </si>
  <si>
    <t>Zone H3 Est :</t>
  </si>
  <si>
    <t>Zone H3 Sud :</t>
  </si>
  <si>
    <t>Zone H3 Ouest :</t>
  </si>
  <si>
    <t>Facteur solaire S  :</t>
  </si>
  <si>
    <t>Aire horizontale :</t>
  </si>
  <si>
    <r>
      <t>Q</t>
    </r>
    <r>
      <rPr>
        <vertAlign val="subscript"/>
        <sz val="10"/>
        <rFont val="Arial"/>
        <family val="2"/>
      </rPr>
      <t>S</t>
    </r>
    <r>
      <rPr>
        <sz val="10"/>
        <rFont val="Arial"/>
        <family val="0"/>
      </rPr>
      <t xml:space="preserve"> Horizontale :</t>
    </r>
  </si>
  <si>
    <r>
      <t>Q</t>
    </r>
    <r>
      <rPr>
        <vertAlign val="subscript"/>
        <sz val="10"/>
        <rFont val="Arial"/>
        <family val="2"/>
      </rPr>
      <t>S</t>
    </r>
    <r>
      <rPr>
        <sz val="10"/>
        <rFont val="Arial"/>
        <family val="0"/>
      </rPr>
      <t xml:space="preserve"> Ouest :</t>
    </r>
  </si>
  <si>
    <r>
      <t>Q</t>
    </r>
    <r>
      <rPr>
        <vertAlign val="subscript"/>
        <sz val="10"/>
        <rFont val="Arial"/>
        <family val="2"/>
      </rPr>
      <t>S</t>
    </r>
    <r>
      <rPr>
        <sz val="10"/>
        <rFont val="Arial"/>
        <family val="0"/>
      </rPr>
      <t xml:space="preserve"> Sud :</t>
    </r>
  </si>
  <si>
    <r>
      <t>Q</t>
    </r>
    <r>
      <rPr>
        <vertAlign val="subscript"/>
        <sz val="10"/>
        <rFont val="Arial"/>
        <family val="2"/>
      </rPr>
      <t>S</t>
    </r>
    <r>
      <rPr>
        <sz val="10"/>
        <rFont val="Arial"/>
        <family val="0"/>
      </rPr>
      <t xml:space="preserve"> Est :</t>
    </r>
  </si>
  <si>
    <r>
      <t>Q</t>
    </r>
    <r>
      <rPr>
        <vertAlign val="subscript"/>
        <sz val="10"/>
        <rFont val="Arial"/>
        <family val="2"/>
      </rPr>
      <t>S</t>
    </r>
    <r>
      <rPr>
        <sz val="10"/>
        <rFont val="Arial"/>
        <family val="0"/>
      </rPr>
      <t xml:space="preserve"> Nord :</t>
    </r>
  </si>
  <si>
    <r>
      <t>Correction pour l'ombrage (F</t>
    </r>
    <r>
      <rPr>
        <vertAlign val="subscript"/>
        <sz val="10"/>
        <rFont val="Arial"/>
        <family val="2"/>
      </rPr>
      <t>S</t>
    </r>
    <r>
      <rPr>
        <sz val="10"/>
        <rFont val="Arial"/>
        <family val="2"/>
      </rPr>
      <t>)</t>
    </r>
  </si>
  <si>
    <r>
      <t>Apports solaires horaires (Q</t>
    </r>
    <r>
      <rPr>
        <vertAlign val="subscript"/>
        <sz val="10"/>
        <rFont val="Arial"/>
        <family val="2"/>
      </rPr>
      <t>S</t>
    </r>
    <r>
      <rPr>
        <sz val="10"/>
        <rFont val="Arial"/>
        <family val="0"/>
      </rPr>
      <t>)</t>
    </r>
  </si>
  <si>
    <r>
      <t>Apports solaires journaliers (Q</t>
    </r>
    <r>
      <rPr>
        <vertAlign val="subscript"/>
        <sz val="10"/>
        <rFont val="Arial"/>
        <family val="2"/>
      </rPr>
      <t>S</t>
    </r>
    <r>
      <rPr>
        <sz val="10"/>
        <rFont val="Arial"/>
        <family val="0"/>
      </rPr>
      <t>)</t>
    </r>
  </si>
  <si>
    <r>
      <t>Irradiation solaire (I</t>
    </r>
    <r>
      <rPr>
        <vertAlign val="subscript"/>
        <sz val="10"/>
        <rFont val="Arial"/>
        <family val="2"/>
      </rPr>
      <t>S</t>
    </r>
    <r>
      <rPr>
        <sz val="10"/>
        <rFont val="Arial"/>
        <family val="2"/>
      </rPr>
      <t>)</t>
    </r>
  </si>
  <si>
    <t>litres</t>
  </si>
  <si>
    <t>Mois considéré</t>
  </si>
  <si>
    <t>Durée de la saison de chauffage</t>
  </si>
  <si>
    <t>Zone H1</t>
  </si>
  <si>
    <t>Zone H3</t>
  </si>
  <si>
    <t>Moyenne mensuelle des températures de l'eau froide</t>
  </si>
  <si>
    <t>Température intérieure en période normale :</t>
  </si>
  <si>
    <t>Coeficient H :</t>
  </si>
  <si>
    <t>Diff. Temp.</t>
  </si>
  <si>
    <t>Diff. Temp. Normal-Temp. Mois</t>
  </si>
  <si>
    <t>Date de début de saison de chauffage :</t>
  </si>
  <si>
    <t>Date de fin de saison de chauffage :</t>
  </si>
  <si>
    <t>Temp par jour</t>
  </si>
  <si>
    <t>Nombre de jours dans la saison de chauffage :</t>
  </si>
  <si>
    <t>Début saison</t>
  </si>
  <si>
    <t>Fin saison</t>
  </si>
  <si>
    <r>
      <t>Apports des occupants (Q</t>
    </r>
    <r>
      <rPr>
        <b/>
        <vertAlign val="subscript"/>
        <sz val="12"/>
        <color indexed="56"/>
        <rFont val="Arial"/>
        <family val="2"/>
      </rPr>
      <t>I</t>
    </r>
    <r>
      <rPr>
        <b/>
        <sz val="12"/>
        <color indexed="56"/>
        <rFont val="Arial"/>
        <family val="2"/>
      </rPr>
      <t>)</t>
    </r>
  </si>
  <si>
    <r>
      <t>Apports solaires (Q</t>
    </r>
    <r>
      <rPr>
        <b/>
        <vertAlign val="subscript"/>
        <sz val="12"/>
        <color indexed="56"/>
        <rFont val="Arial"/>
        <family val="2"/>
      </rPr>
      <t>S</t>
    </r>
    <r>
      <rPr>
        <b/>
        <sz val="12"/>
        <color indexed="56"/>
        <rFont val="Arial"/>
        <family val="2"/>
      </rPr>
      <t>)</t>
    </r>
  </si>
  <si>
    <t>Coefficient b moyen :</t>
  </si>
  <si>
    <t>Longueur des conduites en locaux chauffés :</t>
  </si>
  <si>
    <t>m</t>
  </si>
  <si>
    <t>Longueur des conduites en locaux non chauffés :</t>
  </si>
  <si>
    <t>Température de l'eau chaude sanitaire :</t>
  </si>
  <si>
    <t>Coefficient h :</t>
  </si>
  <si>
    <t>Coefficient Y :</t>
  </si>
  <si>
    <t>W/m/K</t>
  </si>
  <si>
    <t>Coefficient Lambda de l'isolant :</t>
  </si>
  <si>
    <t>Epaisseur moyenne de l'isolant des conduites :</t>
  </si>
  <si>
    <t>Epaisseur de l'isolant du ballon :</t>
  </si>
  <si>
    <t>Surface :</t>
  </si>
  <si>
    <t>Volume :</t>
  </si>
  <si>
    <t>Coefficient U :</t>
  </si>
  <si>
    <t>W/m²/K</t>
  </si>
  <si>
    <r>
      <t>m</t>
    </r>
    <r>
      <rPr>
        <vertAlign val="superscript"/>
        <sz val="10"/>
        <rFont val="Arial"/>
        <family val="2"/>
      </rPr>
      <t>3</t>
    </r>
  </si>
  <si>
    <t>Déperditions thermiques :</t>
  </si>
  <si>
    <t>Contenance du ballon :</t>
  </si>
  <si>
    <t>W/l/K</t>
  </si>
  <si>
    <t>Wh</t>
  </si>
  <si>
    <t>Apports par pertes récupérables sur le système ECS</t>
  </si>
  <si>
    <t>Pertes thermiques totales horaire du système ECS :</t>
  </si>
  <si>
    <t>Pertes thermiques journalières des conduites en locaux chauffés :</t>
  </si>
  <si>
    <t>Pertes thermiques journalières des conduites en locaux non chauffés :</t>
  </si>
  <si>
    <t>Pertes thermiques horaires des conduites en locaux chauffés :</t>
  </si>
  <si>
    <t>Pertes thermiques horaires des conduites en locaux non chauffés :</t>
  </si>
  <si>
    <t>Pertes thermiques totales journalières du système ECS :</t>
  </si>
  <si>
    <t>Wh/j</t>
  </si>
  <si>
    <t>Pertes thermiques horaires récupérables dans locaux chauffés :</t>
  </si>
  <si>
    <t>Pertes thermiques horaires récupérables dans locaux non chauffés :</t>
  </si>
  <si>
    <t>Pertes thermiques journalières récupérables dans locaux chauffés :</t>
  </si>
  <si>
    <t>Pertes thermiques journalières récupérables dans locaux non chauffés :</t>
  </si>
  <si>
    <t>Sur distribution</t>
  </si>
  <si>
    <t>Sur stockage</t>
  </si>
  <si>
    <t>Pertes thermiques horaires moyennes des conduites en locaux chauffés :</t>
  </si>
  <si>
    <t>Pertes thermiques horaires moyennes des conduites en locaux non chauffés :</t>
  </si>
  <si>
    <t>Coefficient b moyen (coefficient d'emplacement) :</t>
  </si>
  <si>
    <t>Type d'émetteurs :</t>
  </si>
  <si>
    <t>Surface latérale totale de la chaudière (cotés) :</t>
  </si>
  <si>
    <t>Surface supérieure de la chaudière (dessus) :</t>
  </si>
  <si>
    <t>Surface inférieure de la chaudière (dessous) :</t>
  </si>
  <si>
    <t>Epaisseur de l'isolant :</t>
  </si>
  <si>
    <t>Pertes thermiques totales horaires récupérables sur le système ECS :</t>
  </si>
  <si>
    <t>Pertes thermiques totales journalières récupérables sur le système ECS :</t>
  </si>
  <si>
    <t>Chaudière</t>
  </si>
  <si>
    <t>Ballon de stockage</t>
  </si>
  <si>
    <t>Apports par pertes récupérables sur le système de chauffage</t>
  </si>
  <si>
    <t>Inertie thermique quotidienne</t>
  </si>
  <si>
    <t>Classe d'inertie :</t>
  </si>
  <si>
    <t>Qoefficient Cm :</t>
  </si>
  <si>
    <t>Moyenne</t>
  </si>
  <si>
    <r>
      <t>Surface habitable du logement (A</t>
    </r>
    <r>
      <rPr>
        <vertAlign val="subscript"/>
        <sz val="10"/>
        <rFont val="Arial"/>
        <family val="2"/>
      </rPr>
      <t>bât</t>
    </r>
    <r>
      <rPr>
        <sz val="10"/>
        <rFont val="Arial"/>
        <family val="0"/>
      </rPr>
      <t>) :</t>
    </r>
  </si>
  <si>
    <t>Besoins thermiques en chauffage</t>
  </si>
  <si>
    <t>Semaine de calcul</t>
  </si>
  <si>
    <t>lundi</t>
  </si>
  <si>
    <t>Normale</t>
  </si>
  <si>
    <t>Température :</t>
  </si>
  <si>
    <t>Durée :</t>
  </si>
  <si>
    <t>Déperditions :</t>
  </si>
  <si>
    <t>Réduite</t>
  </si>
  <si>
    <t>Périodes</t>
  </si>
  <si>
    <t>mardi</t>
  </si>
  <si>
    <t>mercredi</t>
  </si>
  <si>
    <t>jeudi</t>
  </si>
  <si>
    <t>vendredi</t>
  </si>
  <si>
    <t>samedi</t>
  </si>
  <si>
    <t>dimanche</t>
  </si>
  <si>
    <t>Déperditions thermiques de la semaine :</t>
  </si>
  <si>
    <t>Nombre de jours de la période de vacances :</t>
  </si>
  <si>
    <t>j</t>
  </si>
  <si>
    <t>Période de vacances</t>
  </si>
  <si>
    <t>Non</t>
  </si>
  <si>
    <t>Nombre de jours restants :</t>
  </si>
  <si>
    <t>Déperditions totales :</t>
  </si>
  <si>
    <t>Coefficient n :</t>
  </si>
  <si>
    <t>Durée moyenne sur la semaine de la période normale :</t>
  </si>
  <si>
    <t>Mois de début de saison :</t>
  </si>
  <si>
    <t>Mois de fin de saison :</t>
  </si>
  <si>
    <t>Apports solaires pour le calcul du début de saison de chauffage</t>
  </si>
  <si>
    <t>Apports solaires pour le calcul de la fin de saison de chauffage</t>
  </si>
  <si>
    <t>Début de la saison de chauffage</t>
  </si>
  <si>
    <t>Fin de la saison de chauffage</t>
  </si>
  <si>
    <t>Température extérieure de fin de chauffage :</t>
  </si>
  <si>
    <t>Température extérieure de début de chauffage :</t>
  </si>
  <si>
    <t>Mois impossibles à faire coïncider ?</t>
  </si>
  <si>
    <t>Apports thermiques du premier mois :</t>
  </si>
  <si>
    <t>Apports thermiques du deuxième mois :</t>
  </si>
  <si>
    <t>Moyenne des apports thermiques :</t>
  </si>
  <si>
    <r>
      <t>Besoins en eau chaude sanitaire ECS (Q</t>
    </r>
    <r>
      <rPr>
        <b/>
        <vertAlign val="subscript"/>
        <sz val="12"/>
        <rFont val="Arial"/>
        <family val="2"/>
      </rPr>
      <t>ECS</t>
    </r>
    <r>
      <rPr>
        <b/>
        <sz val="12"/>
        <rFont val="Arial"/>
        <family val="2"/>
      </rPr>
      <t>)</t>
    </r>
  </si>
  <si>
    <t>l/j</t>
  </si>
  <si>
    <r>
      <t>Besoins en ECS (Q</t>
    </r>
    <r>
      <rPr>
        <b/>
        <vertAlign val="subscript"/>
        <sz val="10"/>
        <rFont val="Arial"/>
        <family val="2"/>
      </rPr>
      <t>ECS</t>
    </r>
    <r>
      <rPr>
        <b/>
        <sz val="10"/>
        <rFont val="Arial"/>
        <family val="2"/>
      </rPr>
      <t>)</t>
    </r>
  </si>
  <si>
    <t>Besoins ECS par jour :</t>
  </si>
  <si>
    <t>Volume d'eau chaude par jour :</t>
  </si>
  <si>
    <t>Nombre de litres d'eau chaude par personne et par jour :</t>
  </si>
  <si>
    <t>Type de chaudière :</t>
  </si>
  <si>
    <t>Coefficient A</t>
  </si>
  <si>
    <t>Coefficient B</t>
  </si>
  <si>
    <t>Coefficient C</t>
  </si>
  <si>
    <t>Coefficient D</t>
  </si>
  <si>
    <t>Type de brûleur :</t>
  </si>
  <si>
    <t>Coefficient E</t>
  </si>
  <si>
    <t>Coefficient F</t>
  </si>
  <si>
    <t>Correction de rendement pour charge intermédiaire :</t>
  </si>
  <si>
    <r>
      <t>T</t>
    </r>
    <r>
      <rPr>
        <vertAlign val="subscript"/>
        <sz val="10"/>
        <rFont val="Arial"/>
        <family val="2"/>
      </rPr>
      <t>int</t>
    </r>
    <r>
      <rPr>
        <sz val="10"/>
        <rFont val="Arial"/>
        <family val="0"/>
      </rPr>
      <t xml:space="preserve"> en °C</t>
    </r>
  </si>
  <si>
    <t>Coefficient a</t>
  </si>
  <si>
    <t>Température de l'eau :</t>
  </si>
  <si>
    <t>Type d'émetteurs</t>
  </si>
  <si>
    <t>Puissance de la chaudière :</t>
  </si>
  <si>
    <t>%</t>
  </si>
  <si>
    <t>Déperditions horaires :</t>
  </si>
  <si>
    <t>Charge de la chaudière :</t>
  </si>
  <si>
    <t>Pertes à charge nulle :</t>
  </si>
  <si>
    <t>Rendement :</t>
  </si>
  <si>
    <t>Température du local :</t>
  </si>
  <si>
    <t>Chaudière en local chauffé :</t>
  </si>
  <si>
    <t>Pertes totales :</t>
  </si>
  <si>
    <t>Présence d'une veilleuse :</t>
  </si>
  <si>
    <t>Rendement sur la journée :</t>
  </si>
  <si>
    <t>Déperditions thermiques totales sur la journée :</t>
  </si>
  <si>
    <t>Pertes thermiques totales de génération sur la semaine :</t>
  </si>
  <si>
    <t>Déperditions thermiques totales de la semaine :</t>
  </si>
  <si>
    <t>Besoins réels :</t>
  </si>
  <si>
    <t>Besoins thermiques réels sur la journée :</t>
  </si>
  <si>
    <t>Pertes thermiques totales de génération sur la journée :</t>
  </si>
  <si>
    <t>Rendement de génération sur la semaine :</t>
  </si>
  <si>
    <t>Valeurs pour la semaine</t>
  </si>
  <si>
    <t>Besoins thermiques réels :</t>
  </si>
  <si>
    <t>Pertes thermiques totales :</t>
  </si>
  <si>
    <t>Rendement de combustion :</t>
  </si>
  <si>
    <t>Rendement de génération :</t>
  </si>
  <si>
    <t>Déperditions thermiques totales :</t>
  </si>
  <si>
    <t>Pertes thermiques et rendement de génération du système de chauffage</t>
  </si>
  <si>
    <t>Pertes thermiques et rendement de distribution du système de chauffage</t>
  </si>
  <si>
    <t>Température d'ambiance :</t>
  </si>
  <si>
    <t>Température moyenne de la période normale sur la semaine :</t>
  </si>
  <si>
    <t>Température moyenne de la période réduite sur la semaine :</t>
  </si>
  <si>
    <t>Durée moyenne de la période normale sur la semaine :</t>
  </si>
  <si>
    <t>Durée moyenne de la période réduite sur la semaine :</t>
  </si>
  <si>
    <t>Bouclage ou traçage :</t>
  </si>
  <si>
    <t>Diamètre moyen intérieur des conduites en locaux chauffés :</t>
  </si>
  <si>
    <t>Diamètre moyen intérieur des conduites en locaux non chauffés :</t>
  </si>
  <si>
    <t>Puissance du circulateur de bouclage ou puissance du traçage :</t>
  </si>
  <si>
    <t>Longueur des conduites avec bouclage ou traçage en locaux chauffés :</t>
  </si>
  <si>
    <t>Longueur des conduites avec bouclage ou traçage en locaux non chauffés :</t>
  </si>
  <si>
    <t>Volume approximatif des conduites en locaux chauffés :</t>
  </si>
  <si>
    <t>Volume approximatif des conduites en locaux non chauffés :</t>
  </si>
  <si>
    <t>Volume extérieur du ballon :</t>
  </si>
  <si>
    <t>Surface extérieure du ballon :</t>
  </si>
  <si>
    <t>Coefficient h des conduites en locaux chauffés :</t>
  </si>
  <si>
    <t>Coefficient h des conduites en locaux non chauffés :</t>
  </si>
  <si>
    <t>Coefficient Y des conduites en locaux chauffés :</t>
  </si>
  <si>
    <t>Coefficient Y des conduites en locaux non chauffés :</t>
  </si>
  <si>
    <t xml:space="preserve">Température moyenne sur la semaine de la période normale : </t>
  </si>
  <si>
    <t>Pertes thermiques horaires du ballon :</t>
  </si>
  <si>
    <t>Pertes thermiques journalières du ballon :</t>
  </si>
  <si>
    <t>Pertes thermiques horaires récupérables :</t>
  </si>
  <si>
    <t>Pertes thermiques journalières récupérables :</t>
  </si>
  <si>
    <t>Ballon situé en local chauffé :</t>
  </si>
  <si>
    <t>Température moyenne des locaux non chauffés :</t>
  </si>
  <si>
    <t>Sans bouclage</t>
  </si>
  <si>
    <t>Avec bouclage</t>
  </si>
  <si>
    <t>Stockage</t>
  </si>
  <si>
    <t>Pertes totales</t>
  </si>
  <si>
    <t>Pertes récupérables</t>
  </si>
  <si>
    <t>Valeurs servants aux calculs des apports ECS pour déterminer le début et la fin de saison de chauffage</t>
  </si>
  <si>
    <t>Apports thermiques externes et internes :</t>
  </si>
  <si>
    <t>Valeurs d'irradiation solaire moyennes</t>
  </si>
  <si>
    <t>Température des locaux non chauffés :</t>
  </si>
  <si>
    <t>Pertes thermiques des conduites :</t>
  </si>
  <si>
    <t>Pertes thermiques du ballon de stockage :</t>
  </si>
  <si>
    <t>Pertes thermiques totales sur la journée :</t>
  </si>
  <si>
    <t>Pertes thermiques horaires :</t>
  </si>
  <si>
    <t>Pertes thermiques totales de la semaine :</t>
  </si>
  <si>
    <t>Pertes thermiques en période normale sur la semaine :</t>
  </si>
  <si>
    <t>Pertes thermiques en période réduite sur la semaine :</t>
  </si>
  <si>
    <t>Température d'ambiance durant la période de vacances :</t>
  </si>
  <si>
    <t>Température de l'eau de chauffage :</t>
  </si>
  <si>
    <t>Apports thermiques :</t>
  </si>
  <si>
    <t>Pertes thermiques récupérables sur la période :</t>
  </si>
  <si>
    <t>Pertes thermiques totales récupérables sur la journée :</t>
  </si>
  <si>
    <t>Pertes thermiques récupérables en période normale sur la semaine :</t>
  </si>
  <si>
    <t>Pertes thermiques récupérables en période réduite sur la semaine :</t>
  </si>
  <si>
    <t>Pertes thermiques totales récupérables sur la semaine :</t>
  </si>
  <si>
    <t>Conduites</t>
  </si>
  <si>
    <t>Constante de refroidissement (Cr) :</t>
  </si>
  <si>
    <t>Pertes thermiques horaires du ballon de stockage ECS :</t>
  </si>
  <si>
    <t>Pertes thermiques des conduites sans bouclage en locaux chauffés :</t>
  </si>
  <si>
    <t>Pertes thermiques horaires des conduites avec bouclage en locaux chauffés  :</t>
  </si>
  <si>
    <t>Pertes thermiques horaires des conduites avec bouclage en locaux non chauffés  :</t>
  </si>
  <si>
    <t>Pertes thermiques des conduites sans bouclage en locaux non chauffés :</t>
  </si>
  <si>
    <t>Pertes thermiques horaires</t>
  </si>
  <si>
    <t>Pertes thermiques des conduites avec bouclage en locaux chauffés :</t>
  </si>
  <si>
    <t>Pertes thermiques des conduites avec bouclage en locaux non chauffés :</t>
  </si>
  <si>
    <t>Pertes thermiques du ballon ECS :</t>
  </si>
  <si>
    <t>Pertes thermiques sur la période réduite</t>
  </si>
  <si>
    <t>Pertes thermiques sur la période normale</t>
  </si>
  <si>
    <t>Pertes thermiques récupérables du ballon ECS :</t>
  </si>
  <si>
    <t>Pertes thermiques récupérables sur la période normale</t>
  </si>
  <si>
    <t>Pertes thermiques récupérables des conduites sans bouclage en locaux chauffés :</t>
  </si>
  <si>
    <t>Pertes thermiques récupérables des conduites sans bouclage en locaux non chauffés :</t>
  </si>
  <si>
    <t>Pertes thermiques récupérables des conduites avec bouclage en locaux chauffés :</t>
  </si>
  <si>
    <t>Pertes thermiques récupérables des conduites avec bouclage en locaux non chauffés :</t>
  </si>
  <si>
    <t>Pertes thermiques totales récupérables :</t>
  </si>
  <si>
    <t>Pertes thermiques récupérables sur la période réduite</t>
  </si>
  <si>
    <t>Distribution sans bouclage ni traçage</t>
  </si>
  <si>
    <t>Distribution avec bouclage ou traçage</t>
  </si>
  <si>
    <t>Ballon de stockage ECS</t>
  </si>
  <si>
    <t>Pertes themiques totales horaires récupérables :</t>
  </si>
  <si>
    <t>Pertes thermiques récupérables horaires</t>
  </si>
  <si>
    <t>Pertes thermiques journalières :</t>
  </si>
  <si>
    <t>Besoins thermiques :</t>
  </si>
  <si>
    <t>Pertes thermiques récupérables :</t>
  </si>
  <si>
    <t>Déperditions totales de la journée :</t>
  </si>
  <si>
    <t>Besoins thermiques pour la journée :</t>
  </si>
  <si>
    <r>
      <t>Apports thermiques occupants et solaires horaires (Q</t>
    </r>
    <r>
      <rPr>
        <vertAlign val="subscript"/>
        <sz val="10"/>
        <rFont val="Arial"/>
        <family val="2"/>
      </rPr>
      <t>I</t>
    </r>
    <r>
      <rPr>
        <sz val="10"/>
        <rFont val="Arial"/>
        <family val="2"/>
      </rPr>
      <t xml:space="preserve"> + Q</t>
    </r>
    <r>
      <rPr>
        <vertAlign val="subscript"/>
        <sz val="10"/>
        <rFont val="Arial"/>
        <family val="2"/>
      </rPr>
      <t>S</t>
    </r>
    <r>
      <rPr>
        <sz val="10"/>
        <rFont val="Arial"/>
        <family val="0"/>
      </rPr>
      <t>) :</t>
    </r>
  </si>
  <si>
    <t>Déperditions de la période :</t>
  </si>
  <si>
    <t>Apports thermiques horaires :</t>
  </si>
  <si>
    <t>Besoins thermiques horaires :</t>
  </si>
  <si>
    <t>Rendement sur la période :</t>
  </si>
  <si>
    <t>Besoins thermiques sur la journée :</t>
  </si>
  <si>
    <t>Pertes thermiques de génération sur la journée :</t>
  </si>
  <si>
    <t>Apports externes et internes horaires :</t>
  </si>
  <si>
    <t>Chaudière située en local chauffé :</t>
  </si>
  <si>
    <t>Pertes horaires à charge nulle :</t>
  </si>
  <si>
    <t>Pertes horaires à charge (100% ou Intermédiaire) :</t>
  </si>
  <si>
    <t>Pertes thermiques :</t>
  </si>
  <si>
    <t>Pertes thermiques de génération :</t>
  </si>
  <si>
    <t>Pertes thermiques sur la période :</t>
  </si>
  <si>
    <t>Lundi</t>
  </si>
  <si>
    <t>Mardi</t>
  </si>
  <si>
    <t>Mercredi</t>
  </si>
  <si>
    <t>Jeudi</t>
  </si>
  <si>
    <t>Vendredi</t>
  </si>
  <si>
    <t>Samedi</t>
  </si>
  <si>
    <t>Dimanche</t>
  </si>
  <si>
    <t>Rendement de distribution :</t>
  </si>
  <si>
    <t>Pertes thermiques de la journée :</t>
  </si>
  <si>
    <t>Rendement de distribution de la journée :</t>
  </si>
  <si>
    <t>Pertes thermiques de distribution sur la semaine :</t>
  </si>
  <si>
    <t>Besoins thermiques de la semaine :</t>
  </si>
  <si>
    <t>Rendement de distribution sur la semaine :</t>
  </si>
  <si>
    <t>Pertes thermiques de distribution sur la période :</t>
  </si>
  <si>
    <t>Rendement de distribution sur la période :</t>
  </si>
  <si>
    <t>Coefficient b moyen des locaux non chauffés (ici, sert de coefficient d'emplacement) :</t>
  </si>
  <si>
    <t>Besoins en eau chaude sanitaire (ECS) par jour :</t>
  </si>
  <si>
    <t>Contenance de la chaudière :</t>
  </si>
  <si>
    <t>Besoins en eau chaude sanitaire (ECS) pour la journée :</t>
  </si>
  <si>
    <t>Diamètre extérieur (isolation comprise) du ballon :</t>
  </si>
  <si>
    <t>Hauteur extérieure (isolation comprise. Sans la hauteur des pieds) du ballon :</t>
  </si>
  <si>
    <t>Rendement de distribution sur la journée :</t>
  </si>
  <si>
    <t>Pertes thermiques de distribution et stockage :</t>
  </si>
  <si>
    <t>Pertes à 100 % de charge :</t>
  </si>
  <si>
    <t>Pertes thermiques et rendement de génération et de distribution du système ECS</t>
  </si>
  <si>
    <t>Pertes thermiques de distribution et stockage sur la semaine :</t>
  </si>
  <si>
    <t>Besoins en ECS pour la semaine :</t>
  </si>
  <si>
    <t>Pertes thermiques récupérables sur la semaine :</t>
  </si>
  <si>
    <t>Pertes thermiques de la semaine :</t>
  </si>
  <si>
    <t>Charge horaire de la chaudière en saison de chauffage :</t>
  </si>
  <si>
    <t>Charge horaire de la chaudière hors saison de chauffage :</t>
  </si>
  <si>
    <t>Surproduction d'énergie hors saison de chauffage (perdue) :</t>
  </si>
  <si>
    <t>Pertes de génération durant la production d'ECS en saison de chauffage :</t>
  </si>
  <si>
    <t>Pertes de génération durant la production d'ECS hors saison de chauffage :</t>
  </si>
  <si>
    <t>Rendement de génération en saison de chauffage :</t>
  </si>
  <si>
    <t>Rendement de génération hors saison de chauffage :</t>
  </si>
  <si>
    <t>Surproduction d'énergie en saison de chauffage (récupérée par le chauffage) :</t>
  </si>
  <si>
    <t>Surproduction d'énergie en saison de chauffage (récupérée par le chauffage) sur la semaine :</t>
  </si>
  <si>
    <t>Surproduction d'énergie hors saison de chauffage (perdue) sur la semaine :</t>
  </si>
  <si>
    <t>Pertes de génération durant la production d'ECS en saison de chauffage sur la semaine :</t>
  </si>
  <si>
    <t>Pertes de génération durant la production d'ECS hors saison de chauffage sur la semaine :</t>
  </si>
  <si>
    <t>Rendement de génération en saison de chauffage sur la semaine :</t>
  </si>
  <si>
    <t>Rendement de génération hors saison de chauffage sur la semaine :</t>
  </si>
  <si>
    <t>Nombre de jours de vacances en période de chauffage :</t>
  </si>
  <si>
    <t>Température d'ambiance de la période de vacances :</t>
  </si>
  <si>
    <t>Déperditions thermiques de la de la période de vacances :</t>
  </si>
  <si>
    <t>Pertes de génération de la période de vacances :</t>
  </si>
  <si>
    <t>Rendement de génération sur la période de vacances :</t>
  </si>
  <si>
    <t>Besoins thermiques pour la semaine :</t>
  </si>
  <si>
    <t>Apports thermiques pour la semaine :</t>
  </si>
  <si>
    <t>Pertes thermiques horaires (distribution + stockage) :</t>
  </si>
  <si>
    <t>Pertes à charge (100% ou Intermédiaire) :</t>
  </si>
  <si>
    <t xml:space="preserve">Valeurs pour les jours de chauffage restants hors vacances </t>
  </si>
  <si>
    <t>Besoins thermiques pour la période de vacances :</t>
  </si>
  <si>
    <t>Nombre de jours restants hors période de chauffage et hors vacances :</t>
  </si>
  <si>
    <t>Pertes thermiques (Surproduction) par refroidissement de la chaudière hors saison de chauffage (perdues) :</t>
  </si>
  <si>
    <t>Pertes thermiques (Surproduction) d'énergie en saison de chauffage (récupérées par le chauffage) :</t>
  </si>
  <si>
    <t>Pertes thermiques totales et rendement global du système de chauffage</t>
  </si>
  <si>
    <r>
      <t>Surface habitable du logement (A</t>
    </r>
    <r>
      <rPr>
        <vertAlign val="subscript"/>
        <sz val="10"/>
        <rFont val="Arial"/>
        <family val="2"/>
      </rPr>
      <t>bât</t>
    </r>
    <r>
      <rPr>
        <sz val="10"/>
        <rFont val="Arial"/>
        <family val="0"/>
      </rPr>
      <t>):</t>
    </r>
  </si>
  <si>
    <t>Résultats du bilan thermique pour l'année</t>
  </si>
  <si>
    <t>kW</t>
  </si>
  <si>
    <t>Apports solaires :</t>
  </si>
  <si>
    <t>Apports occupants :</t>
  </si>
  <si>
    <t>Apports récupérables ECS :</t>
  </si>
  <si>
    <t>Apports récupérables CH :</t>
  </si>
  <si>
    <t>Besoins en chauffage :</t>
  </si>
  <si>
    <t>Besoins en ECS :</t>
  </si>
  <si>
    <t>Pertes thermiques du système ECS :</t>
  </si>
  <si>
    <t>Pertes thermiques du système de chauffage :</t>
  </si>
  <si>
    <t>Apports</t>
  </si>
  <si>
    <t>Pertes thermiques</t>
  </si>
  <si>
    <t>Rendements</t>
  </si>
  <si>
    <t>Rendements global du système de chauffage :</t>
  </si>
  <si>
    <t>Rendements global du système ECS :</t>
  </si>
  <si>
    <t>Coefficient b moyen des locaux non chauffés :</t>
  </si>
  <si>
    <t>€</t>
  </si>
  <si>
    <t>Consommation auxiliaires :</t>
  </si>
  <si>
    <t>Consommation des auxiliaires :</t>
  </si>
  <si>
    <t>Combustible</t>
  </si>
  <si>
    <t>Auxiliaires</t>
  </si>
  <si>
    <t>Besoins en énergie</t>
  </si>
  <si>
    <t>Rendement</t>
  </si>
  <si>
    <t>Logement</t>
  </si>
  <si>
    <t>Résultats du bilan thermique pour chaque mois</t>
  </si>
  <si>
    <t>Rendements des systèmes</t>
  </si>
  <si>
    <t xml:space="preserve">      PCI (si connu, sinon, laisser vide) :</t>
  </si>
  <si>
    <t>Volume de combustible nécessaire pour le chauffage :</t>
  </si>
  <si>
    <t>Volume de combustible nécessaire pour l'ECS :</t>
  </si>
  <si>
    <t>Volume de combustible total :</t>
  </si>
  <si>
    <t>Volume de combustible total pour le chauffage :</t>
  </si>
  <si>
    <t>Chauffage</t>
  </si>
  <si>
    <t>ECS</t>
  </si>
  <si>
    <t>Total</t>
  </si>
  <si>
    <t>Volume de combustible pour les pertes (CH + ECS) :</t>
  </si>
  <si>
    <t>Volume de combustible pour les besoins (CH + ECS) :</t>
  </si>
  <si>
    <t>Volume de combustible pour les pertes d'ECS :</t>
  </si>
  <si>
    <t>Volume de combustible pour les pertes de chauffage :</t>
  </si>
  <si>
    <t>Consommation des auxiliaires</t>
  </si>
  <si>
    <t>Puissance du ou des circulateurs de chauffage :</t>
  </si>
  <si>
    <t>Puissance du circulateur ou du traçage ECS :</t>
  </si>
  <si>
    <t>Puissance du brûleur :</t>
  </si>
  <si>
    <t>Circulateur(s) chauffage :</t>
  </si>
  <si>
    <t>Circulateur ou traçage ECS :</t>
  </si>
  <si>
    <t>Besoins thermiques en ECS :</t>
  </si>
  <si>
    <t>Brûleur :</t>
  </si>
  <si>
    <t>Puissance totale absorbée par le ou les circulateurs de chauffage sur la journée :</t>
  </si>
  <si>
    <t>Puissance totale absorbée par le circulateur ou le traçage ECS sur la journée :</t>
  </si>
  <si>
    <t>Puissance totale absorbée par le ou les circulateurs de chauffage sur la semaine :</t>
  </si>
  <si>
    <t>Puissance totale absorbée par le circulateur ou le traçage ECS sur la semaine :</t>
  </si>
  <si>
    <t>Puissance totale absorbée par le ou les circulateurs de chauffage :</t>
  </si>
  <si>
    <t>Puissance totale absorbée par le brûleur sur de la journée :</t>
  </si>
  <si>
    <t>Puissance totale absorbée par le brûleur sur de la semaine :</t>
  </si>
  <si>
    <t>Puissance totale absorbée par le brûleur :</t>
  </si>
  <si>
    <t>Besoins thermiques horaires en chauffage :</t>
  </si>
  <si>
    <t>Volume total de combustible pour l'année :</t>
  </si>
  <si>
    <t>Villes</t>
  </si>
  <si>
    <t>Agen</t>
  </si>
  <si>
    <t>Ajaccio</t>
  </si>
  <si>
    <t>Ambérieu</t>
  </si>
  <si>
    <t>Angers</t>
  </si>
  <si>
    <t>Angoulème</t>
  </si>
  <si>
    <t>Annecy</t>
  </si>
  <si>
    <t>Bastia</t>
  </si>
  <si>
    <t>Besançon</t>
  </si>
  <si>
    <t>Biarritz</t>
  </si>
  <si>
    <t>Bordeaux</t>
  </si>
  <si>
    <t>Bourges</t>
  </si>
  <si>
    <t>Brest</t>
  </si>
  <si>
    <t>Caen</t>
  </si>
  <si>
    <t>Carcassonne</t>
  </si>
  <si>
    <t>Cazaux</t>
  </si>
  <si>
    <t>Chartres</t>
  </si>
  <si>
    <t>Clermont-Fd</t>
  </si>
  <si>
    <t>Cognac</t>
  </si>
  <si>
    <t>Colmar</t>
  </si>
  <si>
    <t>Dijon</t>
  </si>
  <si>
    <t>Embrun</t>
  </si>
  <si>
    <t>Gourdon</t>
  </si>
  <si>
    <t>Grenoble</t>
  </si>
  <si>
    <t>La Rochelle</t>
  </si>
  <si>
    <t>Langres</t>
  </si>
  <si>
    <t>Le Mans</t>
  </si>
  <si>
    <t>Le Puy-en-Velay</t>
  </si>
  <si>
    <t>Lille</t>
  </si>
  <si>
    <t>Limoges</t>
  </si>
  <si>
    <t>Lyon</t>
  </si>
  <si>
    <t>Marseille</t>
  </si>
  <si>
    <t>Metz</t>
  </si>
  <si>
    <t>Millau</t>
  </si>
  <si>
    <t>Montpellier</t>
  </si>
  <si>
    <t>Mont de Marsan</t>
  </si>
  <si>
    <t>Montélimar</t>
  </si>
  <si>
    <t>Mulhouse</t>
  </si>
  <si>
    <t>Nancy</t>
  </si>
  <si>
    <t>Nantes</t>
  </si>
  <si>
    <t>Nice</t>
  </si>
  <si>
    <t>Nimes</t>
  </si>
  <si>
    <t>Orléans</t>
  </si>
  <si>
    <t>Paris</t>
  </si>
  <si>
    <t>Perpignan</t>
  </si>
  <si>
    <t>Reims</t>
  </si>
  <si>
    <t>Rennes</t>
  </si>
  <si>
    <t>Rouen</t>
  </si>
  <si>
    <t>Saint Auban</t>
  </si>
  <si>
    <t>Saint Quentin</t>
  </si>
  <si>
    <t>Sarreguemines</t>
  </si>
  <si>
    <t>Strasbourg</t>
  </si>
  <si>
    <t>Toulon</t>
  </si>
  <si>
    <t>Toulouse</t>
  </si>
  <si>
    <t>Tours</t>
  </si>
  <si>
    <t>Valenciennes</t>
  </si>
  <si>
    <t>Vichy</t>
  </si>
  <si>
    <t>Mois</t>
  </si>
  <si>
    <t>Apports (kWh)</t>
  </si>
  <si>
    <t>Besoins CH (kWh)</t>
  </si>
  <si>
    <t>Besoins ECS (kWh)</t>
  </si>
  <si>
    <t>Pertes (kWh)</t>
  </si>
  <si>
    <t>Moyenne mensuelle des températures extérieures pour les villes indiquées</t>
  </si>
  <si>
    <t>Moyenne mensuelle des températures extérieures</t>
  </si>
  <si>
    <t>Ville la plus proche du logement ou zone d'hiver :</t>
  </si>
  <si>
    <t>Zone d'hiver :</t>
  </si>
  <si>
    <t>Ville ou zone d'hiver (H1, H2 ou H3) :</t>
  </si>
  <si>
    <t>Zone d'hiver (H1, H2, ou H3) :</t>
  </si>
  <si>
    <t>Coefficient H (coefficient de déperdition thermique par transmission et renouvellement d'air) :</t>
  </si>
  <si>
    <t>Nombre de points de puisage :</t>
  </si>
  <si>
    <t>Le diamètre moyen peut être calculé de la façon suivante :
Dm = D1 x (L1 / Lt) + D2 x (L2 / Lt) + Dn x (Ln / Lt)
D1, D2, Dn, sont les différents diamètres de la ou des conduites
L1, L2, Ln, sont les longueurs respectives
Lt est la longueur totale de la ou des conduites
Ce diamètre donne un volume approximatif corrigé sur Pi (3,28 au lieu de 3,14) mais suffisamment précis pour être utilisé dans les calculs.
Exemple :
D1 = 0,02, L1 = 10
D2 = 0,016, L2 = 3
D3 = 0,012, L3 = 10
Dm = 0,02 x (10 / 23) + 0,016 x (3 / 23) + 0,012 x (10 / 23) = 0,016
Volume réel, 4,87 litres, sans correction, 4,62, avec correction, 4,83</t>
  </si>
  <si>
    <t>Diamètre intérieur moyen des conduites :</t>
  </si>
  <si>
    <t>Pertes thermiques de la chaudière :</t>
  </si>
  <si>
    <t>Diamètre extérieur du ballon :</t>
  </si>
  <si>
    <t>Hauteur extérieure du ballon :</t>
  </si>
  <si>
    <t>Puissance du circulateur de charge ECS :</t>
  </si>
  <si>
    <r>
      <t>Surface habitable (A</t>
    </r>
    <r>
      <rPr>
        <vertAlign val="subscript"/>
        <sz val="10"/>
        <rFont val="Arial"/>
        <family val="2"/>
      </rPr>
      <t>bât</t>
    </r>
    <r>
      <rPr>
        <sz val="10"/>
        <rFont val="Arial"/>
        <family val="0"/>
      </rPr>
      <t>)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</si>
</sst>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00"/>
    <numFmt numFmtId="175" formatCode="[$-40C]dddd\ d\ mmmm\ yyyy"/>
    <numFmt numFmtId="176" formatCode="0.0"/>
    <numFmt numFmtId="177" formatCode="0.000%"/>
    <numFmt numFmtId="178" formatCode="#,##0.000&quot; Wh&quot;"/>
    <numFmt numFmtId="179" formatCode="#,##0.000,&quot; kWh&quot;"/>
  </numFmts>
  <fonts count="22">
    <font>
      <sz val="10"/>
      <name val="Arial"/>
      <family val="0"/>
    </font>
    <font>
      <sz val="8"/>
      <name val="Arial"/>
      <family val="0"/>
    </font>
    <font>
      <vertAlign val="subscript"/>
      <sz val="10"/>
      <name val="Arial"/>
      <family val="2"/>
    </font>
    <font>
      <b/>
      <sz val="10"/>
      <color indexed="56"/>
      <name val="Arial"/>
      <family val="2"/>
    </font>
    <font>
      <b/>
      <sz val="10"/>
      <name val="Arial"/>
      <family val="2"/>
    </font>
    <font>
      <b/>
      <sz val="12"/>
      <color indexed="56"/>
      <name val="Arial"/>
      <family val="2"/>
    </font>
    <font>
      <b/>
      <sz val="12"/>
      <color indexed="18"/>
      <name val="Arial"/>
      <family val="2"/>
    </font>
    <font>
      <b/>
      <vertAlign val="subscript"/>
      <sz val="12"/>
      <color indexed="56"/>
      <name val="Arial"/>
      <family val="2"/>
    </font>
    <font>
      <sz val="12"/>
      <name val="Arial"/>
      <family val="2"/>
    </font>
    <font>
      <vertAlign val="superscript"/>
      <sz val="10"/>
      <name val="Arial"/>
      <family val="2"/>
    </font>
    <font>
      <b/>
      <vertAlign val="subscript"/>
      <sz val="10"/>
      <name val="Arial"/>
      <family val="2"/>
    </font>
    <font>
      <b/>
      <sz val="12"/>
      <name val="Arial"/>
      <family val="2"/>
    </font>
    <font>
      <b/>
      <vertAlign val="subscript"/>
      <sz val="12"/>
      <name val="Arial"/>
      <family val="2"/>
    </font>
    <font>
      <sz val="8"/>
      <name val="Tahoma"/>
      <family val="2"/>
    </font>
    <font>
      <b/>
      <sz val="12"/>
      <color indexed="62"/>
      <name val="Arial"/>
      <family val="2"/>
    </font>
    <font>
      <sz val="12"/>
      <color indexed="62"/>
      <name val="Arial"/>
      <family val="2"/>
    </font>
    <font>
      <sz val="10"/>
      <color indexed="18"/>
      <name val="Arial"/>
      <family val="2"/>
    </font>
    <font>
      <b/>
      <sz val="14"/>
      <color indexed="18"/>
      <name val="Arial"/>
      <family val="2"/>
    </font>
    <font>
      <sz val="14"/>
      <color indexed="18"/>
      <name val="Arial"/>
      <family val="2"/>
    </font>
    <font>
      <b/>
      <sz val="10"/>
      <color indexed="17"/>
      <name val="Arial"/>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10"/>
        <bgColor indexed="64"/>
      </patternFill>
    </fill>
  </fills>
  <borders count="76">
    <border>
      <left/>
      <right/>
      <top/>
      <bottom/>
      <diagonal/>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medium"/>
      <bottom style="thin"/>
    </border>
    <border>
      <left>
        <color indexed="63"/>
      </left>
      <right style="medium"/>
      <top>
        <color indexed="63"/>
      </top>
      <bottom>
        <color indexed="63"/>
      </botto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medium"/>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style="thin"/>
      <bottom style="mediu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thin"/>
      <top>
        <color indexed="63"/>
      </top>
      <bottom style="thin"/>
    </border>
    <border>
      <left style="medium"/>
      <right style="thin"/>
      <top style="medium"/>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style="medium"/>
    </border>
    <border>
      <left style="medium"/>
      <right style="medium"/>
      <top style="thin"/>
      <bottom style="medium"/>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color indexed="63"/>
      </left>
      <right style="medium"/>
      <top style="medium"/>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1">
    <xf numFmtId="0" fontId="0" fillId="0" borderId="0" xfId="0" applyAlignment="1">
      <alignment/>
    </xf>
    <xf numFmtId="0" fontId="0" fillId="0" borderId="1" xfId="0" applyBorder="1" applyAlignment="1">
      <alignment/>
    </xf>
    <xf numFmtId="0" fontId="0" fillId="0" borderId="0" xfId="0" applyFill="1" applyBorder="1" applyAlignment="1">
      <alignment/>
    </xf>
    <xf numFmtId="0" fontId="0" fillId="0" borderId="1" xfId="0" applyFill="1" applyBorder="1" applyAlignment="1" applyProtection="1">
      <alignment/>
      <protection/>
    </xf>
    <xf numFmtId="0" fontId="0" fillId="0" borderId="1" xfId="0" applyBorder="1" applyAlignment="1" applyProtection="1">
      <alignment/>
      <protection/>
    </xf>
    <xf numFmtId="0" fontId="0" fillId="0" borderId="0" xfId="0" applyAlignment="1" applyProtection="1">
      <alignment/>
      <protection/>
    </xf>
    <xf numFmtId="2" fontId="0" fillId="0" borderId="1" xfId="0" applyNumberFormat="1" applyBorder="1" applyAlignment="1" applyProtection="1">
      <alignment/>
      <protection/>
    </xf>
    <xf numFmtId="14" fontId="0" fillId="0" borderId="0" xfId="0" applyNumberFormat="1" applyAlignment="1" applyProtection="1">
      <alignment/>
      <protection/>
    </xf>
    <xf numFmtId="0" fontId="0" fillId="0" borderId="0" xfId="0" applyBorder="1" applyAlignment="1" applyProtection="1">
      <alignment/>
      <protection/>
    </xf>
    <xf numFmtId="0" fontId="0" fillId="0" borderId="1" xfId="0" applyBorder="1" applyAlignment="1" applyProtection="1">
      <alignment horizontal="center"/>
      <protection/>
    </xf>
    <xf numFmtId="0" fontId="0" fillId="0" borderId="1" xfId="0" applyFill="1" applyBorder="1" applyAlignment="1" applyProtection="1">
      <alignment horizontal="right"/>
      <protection/>
    </xf>
    <xf numFmtId="0" fontId="0" fillId="0" borderId="0" xfId="0" applyBorder="1" applyAlignment="1" applyProtection="1" quotePrefix="1">
      <alignment/>
      <protection/>
    </xf>
    <xf numFmtId="0" fontId="0" fillId="0" borderId="0" xfId="0" applyBorder="1" applyAlignment="1" applyProtection="1" quotePrefix="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174" fontId="0" fillId="0" borderId="0" xfId="0" applyNumberFormat="1" applyFill="1" applyBorder="1" applyAlignment="1" applyProtection="1">
      <alignment/>
      <protection/>
    </xf>
    <xf numFmtId="174" fontId="0" fillId="0" borderId="1" xfId="0" applyNumberFormat="1" applyFill="1" applyBorder="1" applyAlignment="1" applyProtection="1">
      <alignment/>
      <protection/>
    </xf>
    <xf numFmtId="0" fontId="0" fillId="0" borderId="0" xfId="0" applyFill="1" applyBorder="1" applyAlignment="1" applyProtection="1">
      <alignment/>
      <protection/>
    </xf>
    <xf numFmtId="0" fontId="11" fillId="0" borderId="0" xfId="0" applyFont="1" applyFill="1" applyAlignment="1">
      <alignment horizontal="center"/>
    </xf>
    <xf numFmtId="0" fontId="0" fillId="0" borderId="0" xfId="0" applyFill="1"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Fill="1" applyBorder="1" applyAlignment="1" applyProtection="1" quotePrefix="1">
      <alignment/>
      <protection/>
    </xf>
    <xf numFmtId="174" fontId="0" fillId="0" borderId="0" xfId="0" applyNumberFormat="1" applyBorder="1" applyAlignment="1" applyProtection="1">
      <alignment/>
      <protection/>
    </xf>
    <xf numFmtId="0" fontId="0" fillId="0" borderId="1" xfId="0" applyBorder="1" applyAlignment="1">
      <alignment vertical="center"/>
    </xf>
    <xf numFmtId="0" fontId="0" fillId="2" borderId="1" xfId="0" applyFill="1" applyBorder="1" applyAlignment="1">
      <alignment vertical="center"/>
    </xf>
    <xf numFmtId="0" fontId="0" fillId="0" borderId="0" xfId="0" applyFill="1" applyBorder="1" applyAlignment="1">
      <alignment/>
    </xf>
    <xf numFmtId="0" fontId="0" fillId="0" borderId="2" xfId="0" applyBorder="1" applyAlignment="1">
      <alignment vertical="center"/>
    </xf>
    <xf numFmtId="0" fontId="0" fillId="0" borderId="3" xfId="0" applyBorder="1" applyAlignment="1">
      <alignment vertical="center"/>
    </xf>
    <xf numFmtId="174" fontId="0" fillId="2" borderId="1" xfId="0" applyNumberFormat="1" applyFill="1" applyBorder="1" applyAlignment="1">
      <alignment vertical="center"/>
    </xf>
    <xf numFmtId="0" fontId="0" fillId="0" borderId="0" xfId="0" applyFill="1" applyBorder="1" applyAlignment="1">
      <alignment horizontal="right"/>
    </xf>
    <xf numFmtId="0" fontId="0" fillId="0" borderId="0" xfId="0" applyFont="1" applyFill="1" applyBorder="1" applyAlignment="1">
      <alignment/>
    </xf>
    <xf numFmtId="0" fontId="0" fillId="0" borderId="0" xfId="0" applyAlignment="1" applyProtection="1">
      <alignment/>
      <protection/>
    </xf>
    <xf numFmtId="0" fontId="0" fillId="0" borderId="4" xfId="0" applyBorder="1" applyAlignment="1">
      <alignment vertical="center"/>
    </xf>
    <xf numFmtId="0" fontId="0" fillId="0" borderId="5" xfId="0" applyBorder="1" applyAlignment="1">
      <alignment vertical="center"/>
    </xf>
    <xf numFmtId="0" fontId="4" fillId="0" borderId="0" xfId="0" applyFont="1" applyFill="1" applyAlignment="1">
      <alignment/>
    </xf>
    <xf numFmtId="174" fontId="4" fillId="2" borderId="3" xfId="0" applyNumberFormat="1" applyFont="1" applyFill="1" applyBorder="1" applyAlignment="1">
      <alignment vertical="center"/>
    </xf>
    <xf numFmtId="0" fontId="0" fillId="0" borderId="6" xfId="0" applyBorder="1" applyAlignment="1">
      <alignment vertical="center"/>
    </xf>
    <xf numFmtId="174" fontId="0" fillId="0" borderId="1" xfId="0" applyNumberFormat="1" applyFill="1" applyBorder="1" applyAlignment="1">
      <alignment vertical="center"/>
    </xf>
    <xf numFmtId="174" fontId="4" fillId="2" borderId="1" xfId="0" applyNumberFormat="1" applyFont="1" applyFill="1" applyBorder="1" applyAlignment="1">
      <alignment vertical="center"/>
    </xf>
    <xf numFmtId="0" fontId="0" fillId="3" borderId="1" xfId="0" applyFill="1" applyBorder="1" applyAlignment="1" applyProtection="1">
      <alignment horizontal="right" vertical="center"/>
      <protection locked="0"/>
    </xf>
    <xf numFmtId="0" fontId="0" fillId="0" borderId="1" xfId="0" applyFill="1" applyBorder="1" applyAlignment="1" quotePrefix="1">
      <alignment vertical="center"/>
    </xf>
    <xf numFmtId="0" fontId="0" fillId="4" borderId="1" xfId="0" applyFill="1" applyBorder="1" applyAlignment="1" applyProtection="1">
      <alignment vertical="center"/>
      <protection locked="0"/>
    </xf>
    <xf numFmtId="0" fontId="0" fillId="0" borderId="1" xfId="0" applyFill="1" applyBorder="1" applyAlignment="1">
      <alignment vertical="center"/>
    </xf>
    <xf numFmtId="0" fontId="0" fillId="0" borderId="7" xfId="0" applyBorder="1" applyAlignment="1">
      <alignment vertical="center"/>
    </xf>
    <xf numFmtId="0" fontId="0" fillId="0" borderId="1" xfId="0" applyBorder="1" applyAlignment="1" quotePrefix="1">
      <alignment vertical="center"/>
    </xf>
    <xf numFmtId="0" fontId="4" fillId="2" borderId="1" xfId="0" applyFont="1" applyFill="1" applyBorder="1" applyAlignment="1">
      <alignment vertical="center"/>
    </xf>
    <xf numFmtId="0" fontId="4" fillId="2" borderId="5" xfId="0" applyFont="1" applyFill="1" applyBorder="1" applyAlignment="1">
      <alignment horizontal="right" vertical="center"/>
    </xf>
    <xf numFmtId="0" fontId="4" fillId="2" borderId="3" xfId="0" applyFont="1" applyFill="1" applyBorder="1" applyAlignment="1">
      <alignment vertical="center"/>
    </xf>
    <xf numFmtId="0" fontId="4" fillId="2" borderId="8" xfId="0" applyFont="1" applyFill="1" applyBorder="1" applyAlignment="1">
      <alignment horizontal="right" vertical="center"/>
    </xf>
    <xf numFmtId="0" fontId="0" fillId="0" borderId="2" xfId="0" applyBorder="1" applyAlignment="1" applyProtection="1">
      <alignment vertical="center"/>
      <protection/>
    </xf>
    <xf numFmtId="0" fontId="0" fillId="0" borderId="1" xfId="0" applyFill="1" applyBorder="1" applyAlignment="1" applyProtection="1">
      <alignment horizontal="right" vertical="center"/>
      <protection/>
    </xf>
    <xf numFmtId="0" fontId="0" fillId="0" borderId="1" xfId="0" applyBorder="1" applyAlignment="1" applyProtection="1">
      <alignment vertical="center"/>
      <protection/>
    </xf>
    <xf numFmtId="0" fontId="0" fillId="3" borderId="1" xfId="0" applyFill="1" applyBorder="1" applyAlignment="1" applyProtection="1">
      <alignment vertical="center"/>
      <protection locked="0"/>
    </xf>
    <xf numFmtId="0" fontId="0" fillId="0" borderId="1" xfId="0" applyBorder="1" applyAlignment="1" applyProtection="1" quotePrefix="1">
      <alignment vertical="center"/>
      <protection/>
    </xf>
    <xf numFmtId="0" fontId="0" fillId="0" borderId="5" xfId="0" applyBorder="1" applyAlignment="1" applyProtection="1">
      <alignment vertical="center"/>
      <protection/>
    </xf>
    <xf numFmtId="174" fontId="0" fillId="0" borderId="1" xfId="0" applyNumberFormat="1" applyBorder="1" applyAlignment="1" applyProtection="1">
      <alignment vertical="center"/>
      <protection/>
    </xf>
    <xf numFmtId="0" fontId="0" fillId="2" borderId="1" xfId="0" applyFill="1" applyBorder="1" applyAlignment="1" applyProtection="1">
      <alignment vertical="center"/>
      <protection/>
    </xf>
    <xf numFmtId="174" fontId="0" fillId="2" borderId="1" xfId="0" applyNumberFormat="1" applyFill="1" applyBorder="1" applyAlignment="1" applyProtection="1">
      <alignment vertical="center"/>
      <protection/>
    </xf>
    <xf numFmtId="0" fontId="0" fillId="2" borderId="5" xfId="0" applyFill="1" applyBorder="1" applyAlignment="1" applyProtection="1">
      <alignment horizontal="right" vertical="center"/>
      <protection/>
    </xf>
    <xf numFmtId="0" fontId="4" fillId="2" borderId="1" xfId="0" applyFont="1" applyFill="1" applyBorder="1" applyAlignment="1" applyProtection="1">
      <alignment vertical="center"/>
      <protection/>
    </xf>
    <xf numFmtId="174" fontId="4" fillId="2" borderId="1" xfId="0" applyNumberFormat="1" applyFont="1" applyFill="1" applyBorder="1" applyAlignment="1" applyProtection="1">
      <alignment vertical="center"/>
      <protection/>
    </xf>
    <xf numFmtId="0" fontId="4" fillId="2" borderId="5" xfId="0" applyFont="1" applyFill="1" applyBorder="1" applyAlignment="1" applyProtection="1">
      <alignment horizontal="right" vertical="center"/>
      <protection/>
    </xf>
    <xf numFmtId="0" fontId="0" fillId="0" borderId="3" xfId="0" applyBorder="1" applyAlignment="1" applyProtection="1">
      <alignment vertical="center"/>
      <protection/>
    </xf>
    <xf numFmtId="0" fontId="4" fillId="2" borderId="3" xfId="0" applyFont="1" applyFill="1" applyBorder="1" applyAlignment="1" applyProtection="1">
      <alignment vertical="center"/>
      <protection/>
    </xf>
    <xf numFmtId="174" fontId="4" fillId="2" borderId="3" xfId="0" applyNumberFormat="1" applyFont="1" applyFill="1" applyBorder="1" applyAlignment="1" applyProtection="1">
      <alignment vertical="center"/>
      <protection/>
    </xf>
    <xf numFmtId="0" fontId="4" fillId="2" borderId="8" xfId="0" applyFont="1" applyFill="1" applyBorder="1" applyAlignment="1" applyProtection="1">
      <alignment horizontal="right" vertical="center"/>
      <protection/>
    </xf>
    <xf numFmtId="0" fontId="0" fillId="0" borderId="1" xfId="0" applyFont="1" applyFill="1" applyBorder="1" applyAlignment="1">
      <alignment horizontal="right" vertical="center"/>
    </xf>
    <xf numFmtId="0" fontId="0" fillId="4" borderId="1" xfId="0" applyFill="1" applyBorder="1" applyAlignment="1" applyProtection="1">
      <alignment horizontal="right" vertical="center"/>
      <protection locked="0"/>
    </xf>
    <xf numFmtId="174" fontId="0" fillId="4" borderId="1" xfId="0" applyNumberFormat="1" applyFill="1" applyBorder="1" applyAlignment="1" applyProtection="1">
      <alignment vertical="center"/>
      <protection locked="0"/>
    </xf>
    <xf numFmtId="174" fontId="0" fillId="0" borderId="3" xfId="0" applyNumberFormat="1" applyFill="1" applyBorder="1" applyAlignment="1">
      <alignment vertical="center"/>
    </xf>
    <xf numFmtId="0" fontId="0" fillId="3" borderId="1" xfId="0" applyFont="1" applyFill="1" applyBorder="1" applyAlignment="1" applyProtection="1">
      <alignment vertical="center"/>
      <protection locked="0"/>
    </xf>
    <xf numFmtId="174" fontId="0" fillId="0" borderId="1" xfId="0" applyNumberFormat="1" applyBorder="1" applyAlignment="1">
      <alignment vertical="center"/>
    </xf>
    <xf numFmtId="0" fontId="0" fillId="0" borderId="5" xfId="0" applyBorder="1" applyAlignment="1">
      <alignment horizontal="right" vertical="center"/>
    </xf>
    <xf numFmtId="0" fontId="0" fillId="0" borderId="1" xfId="0" applyFill="1" applyBorder="1" applyAlignment="1" applyProtection="1">
      <alignment vertical="center"/>
      <protection/>
    </xf>
    <xf numFmtId="0" fontId="0" fillId="0" borderId="3" xfId="0" applyFill="1" applyBorder="1" applyAlignment="1" applyProtection="1">
      <alignment vertical="center"/>
      <protection/>
    </xf>
    <xf numFmtId="174" fontId="0" fillId="2" borderId="3" xfId="0" applyNumberFormat="1" applyFill="1" applyBorder="1" applyAlignment="1" applyProtection="1">
      <alignment vertical="center"/>
      <protection/>
    </xf>
    <xf numFmtId="0" fontId="0" fillId="2" borderId="3" xfId="0" applyFill="1" applyBorder="1" applyAlignment="1">
      <alignment vertical="center"/>
    </xf>
    <xf numFmtId="0" fontId="0" fillId="2" borderId="8" xfId="0" applyFill="1" applyBorder="1" applyAlignment="1">
      <alignment horizontal="right" vertical="center"/>
    </xf>
    <xf numFmtId="174" fontId="0" fillId="2" borderId="3" xfId="0" applyNumberFormat="1" applyFill="1" applyBorder="1" applyAlignment="1">
      <alignment vertical="center"/>
    </xf>
    <xf numFmtId="0" fontId="0" fillId="0" borderId="9" xfId="0" applyBorder="1" applyAlignment="1">
      <alignment vertical="center"/>
    </xf>
    <xf numFmtId="2" fontId="0" fillId="2" borderId="9" xfId="0" applyNumberFormat="1" applyFill="1" applyBorder="1" applyAlignment="1" applyProtection="1">
      <alignment vertical="center"/>
      <protection/>
    </xf>
    <xf numFmtId="0" fontId="0" fillId="2" borderId="1" xfId="0" applyFill="1" applyBorder="1" applyAlignment="1">
      <alignment horizontal="right" vertical="center"/>
    </xf>
    <xf numFmtId="0" fontId="0" fillId="2" borderId="3" xfId="0" applyFill="1" applyBorder="1" applyAlignment="1">
      <alignment horizontal="right" vertical="center"/>
    </xf>
    <xf numFmtId="0" fontId="4" fillId="2" borderId="3" xfId="0" applyFont="1" applyFill="1" applyBorder="1" applyAlignment="1">
      <alignment horizontal="right" vertical="center"/>
    </xf>
    <xf numFmtId="0" fontId="0" fillId="0" borderId="1" xfId="0" applyFont="1" applyFill="1" applyBorder="1" applyAlignment="1" applyProtection="1">
      <alignment horizontal="right" vertical="center"/>
      <protection/>
    </xf>
    <xf numFmtId="0" fontId="0" fillId="0" borderId="1" xfId="0" applyFill="1" applyBorder="1" applyAlignment="1" applyProtection="1" quotePrefix="1">
      <alignment vertical="center"/>
      <protection/>
    </xf>
    <xf numFmtId="174" fontId="0" fillId="0" borderId="3" xfId="0" applyNumberFormat="1" applyBorder="1" applyAlignment="1" applyProtection="1">
      <alignment vertical="center"/>
      <protection/>
    </xf>
    <xf numFmtId="174" fontId="0" fillId="0" borderId="1" xfId="0" applyNumberFormat="1" applyFill="1" applyBorder="1" applyAlignment="1" applyProtection="1">
      <alignment vertical="center"/>
      <protection/>
    </xf>
    <xf numFmtId="0" fontId="0" fillId="0" borderId="10" xfId="0" applyFill="1" applyBorder="1" applyAlignment="1" applyProtection="1">
      <alignment vertical="center"/>
      <protection/>
    </xf>
    <xf numFmtId="174" fontId="0" fillId="2" borderId="0" xfId="0" applyNumberFormat="1" applyFill="1" applyBorder="1" applyAlignment="1" applyProtection="1">
      <alignment vertical="center"/>
      <protection/>
    </xf>
    <xf numFmtId="174" fontId="0" fillId="2" borderId="11" xfId="0" applyNumberFormat="1" applyFill="1" applyBorder="1" applyAlignment="1" applyProtection="1">
      <alignment vertical="center"/>
      <protection/>
    </xf>
    <xf numFmtId="174" fontId="0" fillId="2" borderId="6" xfId="0" applyNumberFormat="1" applyFill="1" applyBorder="1" applyAlignment="1">
      <alignment vertical="center"/>
    </xf>
    <xf numFmtId="0" fontId="0" fillId="0" borderId="1" xfId="0" applyFill="1" applyBorder="1" applyAlignment="1">
      <alignment horizontal="right" vertical="center"/>
    </xf>
    <xf numFmtId="0" fontId="0" fillId="0" borderId="5" xfId="0" applyBorder="1" applyAlignment="1" applyProtection="1" quotePrefix="1">
      <alignment vertical="center"/>
      <protection/>
    </xf>
    <xf numFmtId="2" fontId="0" fillId="0" borderId="1" xfId="0" applyNumberFormat="1" applyFill="1" applyBorder="1" applyAlignment="1" applyProtection="1">
      <alignment horizontal="right" vertical="center"/>
      <protection/>
    </xf>
    <xf numFmtId="0" fontId="0" fillId="0" borderId="1" xfId="0" applyBorder="1" applyAlignment="1" applyProtection="1">
      <alignment horizontal="right" vertical="center"/>
      <protection/>
    </xf>
    <xf numFmtId="174" fontId="0" fillId="0" borderId="1" xfId="0" applyNumberFormat="1" applyBorder="1" applyAlignment="1" applyProtection="1">
      <alignment horizontal="right" vertical="center"/>
      <protection/>
    </xf>
    <xf numFmtId="2" fontId="0" fillId="0" borderId="1" xfId="0" applyNumberFormat="1" applyBorder="1" applyAlignment="1" applyProtection="1">
      <alignment horizontal="right" vertical="center"/>
      <protection/>
    </xf>
    <xf numFmtId="2" fontId="0" fillId="0" borderId="1" xfId="0" applyNumberFormat="1" applyBorder="1" applyAlignment="1" applyProtection="1">
      <alignment vertical="center"/>
      <protection/>
    </xf>
    <xf numFmtId="0" fontId="4" fillId="2" borderId="3" xfId="0" applyNumberFormat="1" applyFont="1" applyFill="1" applyBorder="1" applyAlignment="1" applyProtection="1">
      <alignment vertical="center"/>
      <protection/>
    </xf>
    <xf numFmtId="0" fontId="4" fillId="2" borderId="8" xfId="0" applyFont="1" applyFill="1" applyBorder="1" applyAlignment="1" applyProtection="1">
      <alignment vertical="center"/>
      <protection/>
    </xf>
    <xf numFmtId="2" fontId="0" fillId="0" borderId="1" xfId="0" applyNumberFormat="1" applyBorder="1" applyAlignment="1">
      <alignment vertical="center"/>
    </xf>
    <xf numFmtId="0" fontId="0" fillId="0" borderId="1" xfId="0" applyBorder="1" applyAlignment="1">
      <alignment horizontal="right" vertical="center"/>
    </xf>
    <xf numFmtId="0" fontId="0" fillId="0" borderId="6" xfId="0" applyFill="1" applyBorder="1" applyAlignment="1">
      <alignment vertical="center"/>
    </xf>
    <xf numFmtId="0" fontId="0" fillId="0" borderId="8" xfId="0" applyBorder="1" applyAlignment="1">
      <alignment horizontal="right" vertical="center"/>
    </xf>
    <xf numFmtId="0" fontId="0" fillId="2" borderId="6" xfId="0" applyFill="1" applyBorder="1" applyAlignment="1">
      <alignment vertical="center"/>
    </xf>
    <xf numFmtId="0" fontId="0" fillId="2" borderId="12" xfId="0" applyFill="1" applyBorder="1" applyAlignment="1">
      <alignment horizontal="right" vertical="center"/>
    </xf>
    <xf numFmtId="0" fontId="0" fillId="0" borderId="0" xfId="0" applyAlignment="1">
      <alignment vertical="center"/>
    </xf>
    <xf numFmtId="2" fontId="0" fillId="0" borderId="1" xfId="0" applyNumberFormat="1" applyFill="1" applyBorder="1" applyAlignment="1" applyProtection="1">
      <alignment vertical="center"/>
      <protection/>
    </xf>
    <xf numFmtId="0" fontId="4" fillId="2" borderId="1" xfId="0" applyFont="1" applyFill="1" applyBorder="1" applyAlignment="1">
      <alignment horizontal="right" vertical="center"/>
    </xf>
    <xf numFmtId="0" fontId="0" fillId="0" borderId="3" xfId="0" applyFill="1" applyBorder="1" applyAlignment="1" applyProtection="1">
      <alignment horizontal="right" vertical="center"/>
      <protection/>
    </xf>
    <xf numFmtId="174" fontId="0" fillId="0" borderId="0" xfId="0" applyNumberFormat="1" applyAlignment="1">
      <alignment/>
    </xf>
    <xf numFmtId="0" fontId="0" fillId="0" borderId="1" xfId="0" applyFont="1" applyFill="1" applyBorder="1" applyAlignment="1">
      <alignment vertical="center"/>
    </xf>
    <xf numFmtId="0" fontId="0" fillId="0" borderId="3" xfId="0" applyBorder="1" applyAlignment="1">
      <alignment/>
    </xf>
    <xf numFmtId="0" fontId="0" fillId="0" borderId="9" xfId="0" applyFont="1" applyFill="1" applyBorder="1" applyAlignment="1">
      <alignment vertical="center"/>
    </xf>
    <xf numFmtId="0" fontId="0" fillId="0" borderId="2" xfId="0" applyBorder="1" applyAlignment="1">
      <alignment/>
    </xf>
    <xf numFmtId="0" fontId="0" fillId="0" borderId="4" xfId="0" applyBorder="1" applyAlignment="1">
      <alignment/>
    </xf>
    <xf numFmtId="0" fontId="0" fillId="0" borderId="1" xfId="0" applyFont="1" applyFill="1" applyBorder="1" applyAlignment="1">
      <alignment horizontal="left" vertical="center"/>
    </xf>
    <xf numFmtId="0" fontId="0" fillId="0" borderId="2" xfId="0" applyFont="1" applyFill="1" applyBorder="1" applyAlignment="1">
      <alignment vertical="center"/>
    </xf>
    <xf numFmtId="0" fontId="0" fillId="4" borderId="1" xfId="0" applyFill="1" applyBorder="1" applyAlignment="1">
      <alignment horizontal="right" vertical="center"/>
    </xf>
    <xf numFmtId="0" fontId="4" fillId="0" borderId="2" xfId="0" applyFont="1" applyFill="1" applyBorder="1" applyAlignment="1">
      <alignment horizontal="center" vertical="center"/>
    </xf>
    <xf numFmtId="0" fontId="0" fillId="3" borderId="2" xfId="0"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174" fontId="0" fillId="0" borderId="1" xfId="0" applyNumberFormat="1" applyFont="1" applyFill="1" applyBorder="1" applyAlignment="1">
      <alignment vertical="center"/>
    </xf>
    <xf numFmtId="0" fontId="0" fillId="0" borderId="1" xfId="0" applyBorder="1" applyAlignment="1" applyProtection="1">
      <alignment/>
      <protection/>
    </xf>
    <xf numFmtId="0" fontId="0" fillId="0" borderId="1" xfId="0" applyFill="1" applyBorder="1" applyAlignment="1" applyProtection="1">
      <alignment/>
      <protection/>
    </xf>
    <xf numFmtId="0" fontId="4" fillId="2" borderId="1" xfId="0" applyFont="1" applyFill="1" applyBorder="1" applyAlignment="1">
      <alignment horizontal="left" vertical="center"/>
    </xf>
    <xf numFmtId="0" fontId="4" fillId="0" borderId="1" xfId="0" applyFont="1" applyBorder="1" applyAlignment="1" applyProtection="1">
      <alignment horizontal="center"/>
      <protection/>
    </xf>
    <xf numFmtId="0" fontId="0" fillId="0" borderId="9" xfId="0" applyBorder="1" applyAlignment="1" applyProtection="1">
      <alignment vertical="center"/>
      <protection/>
    </xf>
    <xf numFmtId="0" fontId="0" fillId="0" borderId="1" xfId="0" applyBorder="1" applyAlignment="1" applyProtection="1">
      <alignment horizontal="center" vertical="center"/>
      <protection/>
    </xf>
    <xf numFmtId="0" fontId="0" fillId="0" borderId="15" xfId="0" applyBorder="1" applyAlignment="1" applyProtection="1">
      <alignment vertical="center"/>
      <protection/>
    </xf>
    <xf numFmtId="0" fontId="0" fillId="0" borderId="2" xfId="0" applyFill="1" applyBorder="1" applyAlignment="1" applyProtection="1">
      <alignment vertical="center"/>
      <protection/>
    </xf>
    <xf numFmtId="0" fontId="0" fillId="0" borderId="16" xfId="0" applyBorder="1" applyAlignment="1" applyProtection="1">
      <alignment vertical="center"/>
      <protection/>
    </xf>
    <xf numFmtId="0" fontId="0" fillId="0" borderId="9" xfId="0" applyFill="1" applyBorder="1" applyAlignment="1" applyProtection="1">
      <alignment vertical="center"/>
      <protection/>
    </xf>
    <xf numFmtId="0" fontId="0" fillId="0" borderId="2" xfId="0" applyFont="1" applyFill="1" applyBorder="1" applyAlignment="1" applyProtection="1">
      <alignment horizontal="left" vertical="center"/>
      <protection/>
    </xf>
    <xf numFmtId="0" fontId="4" fillId="0" borderId="17" xfId="0" applyFont="1" applyBorder="1" applyAlignment="1">
      <alignment horizontal="center" vertical="center"/>
    </xf>
    <xf numFmtId="0" fontId="14" fillId="0" borderId="13" xfId="0" applyFont="1" applyBorder="1" applyAlignment="1">
      <alignment horizontal="left" vertical="center"/>
    </xf>
    <xf numFmtId="0" fontId="14"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4" fillId="0" borderId="2" xfId="0" applyFont="1" applyBorder="1" applyAlignment="1">
      <alignment horizontal="center" vertical="center"/>
    </xf>
    <xf numFmtId="0" fontId="0" fillId="0" borderId="1" xfId="0" applyFont="1" applyBorder="1" applyAlignment="1">
      <alignment vertical="center"/>
    </xf>
    <xf numFmtId="0" fontId="0" fillId="0" borderId="1" xfId="0" applyNumberFormat="1" applyFill="1" applyBorder="1" applyAlignment="1">
      <alignment horizontal="left" vertical="center"/>
    </xf>
    <xf numFmtId="0" fontId="0" fillId="0" borderId="1" xfId="0" applyNumberFormat="1" applyFill="1" applyBorder="1" applyAlignment="1">
      <alignment vertical="center"/>
    </xf>
    <xf numFmtId="0" fontId="0" fillId="0" borderId="1" xfId="0" applyNumberFormat="1" applyFill="1" applyBorder="1" applyAlignment="1">
      <alignment horizontal="right" vertical="center"/>
    </xf>
    <xf numFmtId="0" fontId="0" fillId="0" borderId="1" xfId="0" applyNumberFormat="1" applyFill="1" applyBorder="1" applyAlignment="1" quotePrefix="1">
      <alignment horizontal="left" vertical="center"/>
    </xf>
    <xf numFmtId="0" fontId="0" fillId="0" borderId="1" xfId="0" applyNumberFormat="1" applyFill="1" applyBorder="1" applyAlignment="1" quotePrefix="1">
      <alignment horizontal="right" vertical="center"/>
    </xf>
    <xf numFmtId="0" fontId="4" fillId="2" borderId="1" xfId="0" applyNumberFormat="1" applyFont="1" applyFill="1" applyBorder="1" applyAlignment="1">
      <alignment horizontal="left" vertical="center"/>
    </xf>
    <xf numFmtId="174" fontId="0" fillId="0" borderId="0" xfId="0" applyNumberFormat="1" applyAlignment="1">
      <alignment vertical="center"/>
    </xf>
    <xf numFmtId="0" fontId="0" fillId="0" borderId="9" xfId="0" applyBorder="1" applyAlignment="1" applyProtection="1">
      <alignment/>
      <protection/>
    </xf>
    <xf numFmtId="0" fontId="0" fillId="4" borderId="9"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1" xfId="0" applyFill="1" applyBorder="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8"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protection/>
    </xf>
    <xf numFmtId="2" fontId="0" fillId="0" borderId="1" xfId="0" applyNumberFormat="1" applyFont="1" applyFill="1" applyBorder="1" applyAlignment="1" applyProtection="1">
      <alignment horizontal="right" vertical="center"/>
      <protection/>
    </xf>
    <xf numFmtId="0" fontId="0" fillId="0" borderId="1" xfId="0" applyNumberFormat="1" applyFont="1" applyFill="1" applyBorder="1" applyAlignment="1" applyProtection="1">
      <alignment horizontal="right" vertical="center"/>
      <protection/>
    </xf>
    <xf numFmtId="0" fontId="0" fillId="0" borderId="0" xfId="0" applyAlignment="1" applyProtection="1">
      <alignment vertical="center" wrapText="1"/>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174" fontId="0" fillId="0" borderId="3" xfId="0" applyNumberFormat="1" applyFill="1" applyBorder="1" applyAlignment="1" applyProtection="1">
      <alignment vertical="center"/>
      <protection/>
    </xf>
    <xf numFmtId="0" fontId="0" fillId="0" borderId="8" xfId="0" applyBorder="1" applyAlignment="1" applyProtection="1">
      <alignment vertical="center"/>
      <protection/>
    </xf>
    <xf numFmtId="0" fontId="0" fillId="0" borderId="18" xfId="0" applyBorder="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6" xfId="0" applyFill="1" applyBorder="1" applyAlignment="1" applyProtection="1">
      <alignment vertical="center"/>
      <protection/>
    </xf>
    <xf numFmtId="0" fontId="0" fillId="0" borderId="5" xfId="0" applyBorder="1" applyAlignment="1" applyProtection="1">
      <alignment horizontal="right" vertical="center"/>
      <protection/>
    </xf>
    <xf numFmtId="0" fontId="0" fillId="2" borderId="3" xfId="0" applyFill="1" applyBorder="1" applyAlignment="1" applyProtection="1">
      <alignment vertical="center"/>
      <protection/>
    </xf>
    <xf numFmtId="0" fontId="0" fillId="2" borderId="8" xfId="0" applyFill="1" applyBorder="1" applyAlignment="1" applyProtection="1">
      <alignment horizontal="right" vertical="center"/>
      <protection/>
    </xf>
    <xf numFmtId="0" fontId="0" fillId="2" borderId="9" xfId="0" applyFill="1" applyBorder="1" applyAlignment="1" applyProtection="1">
      <alignment vertical="center"/>
      <protection/>
    </xf>
    <xf numFmtId="0" fontId="0" fillId="2" borderId="19" xfId="0" applyFill="1" applyBorder="1" applyAlignment="1" applyProtection="1">
      <alignment horizontal="right" vertical="center"/>
      <protection/>
    </xf>
    <xf numFmtId="174" fontId="0" fillId="2" borderId="20" xfId="0" applyNumberFormat="1" applyFill="1" applyBorder="1" applyAlignment="1" applyProtection="1">
      <alignment vertical="center"/>
      <protection/>
    </xf>
    <xf numFmtId="0" fontId="0" fillId="2" borderId="20" xfId="0" applyFill="1" applyBorder="1" applyAlignment="1" applyProtection="1">
      <alignment vertical="center"/>
      <protection/>
    </xf>
    <xf numFmtId="0" fontId="0" fillId="2" borderId="21" xfId="0" applyFill="1" applyBorder="1" applyAlignment="1" applyProtection="1">
      <alignment horizontal="right" vertical="center"/>
      <protection/>
    </xf>
    <xf numFmtId="0" fontId="0" fillId="2" borderId="1" xfId="0" applyFill="1" applyBorder="1" applyAlignment="1" applyProtection="1">
      <alignment horizontal="right" vertical="center"/>
      <protection/>
    </xf>
    <xf numFmtId="0" fontId="0" fillId="2" borderId="3" xfId="0" applyFill="1" applyBorder="1" applyAlignment="1" applyProtection="1">
      <alignment horizontal="right" vertical="center"/>
      <protection/>
    </xf>
    <xf numFmtId="0" fontId="0" fillId="0" borderId="5" xfId="0" applyBorder="1" applyAlignment="1" applyProtection="1">
      <alignment/>
      <protection/>
    </xf>
    <xf numFmtId="0" fontId="4" fillId="2" borderId="1" xfId="0" applyFont="1" applyFill="1" applyBorder="1" applyAlignment="1" applyProtection="1">
      <alignment horizontal="right" vertical="center"/>
      <protection/>
    </xf>
    <xf numFmtId="0" fontId="4" fillId="2" borderId="3" xfId="0" applyFont="1" applyFill="1" applyBorder="1" applyAlignment="1" applyProtection="1">
      <alignment horizontal="right" vertical="center"/>
      <protection/>
    </xf>
    <xf numFmtId="0" fontId="0" fillId="0" borderId="9" xfId="0" applyFont="1" applyFill="1" applyBorder="1" applyAlignment="1" applyProtection="1">
      <alignment horizontal="right"/>
      <protection/>
    </xf>
    <xf numFmtId="0" fontId="0" fillId="0" borderId="9" xfId="0" applyFill="1" applyBorder="1" applyAlignment="1" applyProtection="1" quotePrefix="1">
      <alignment/>
      <protection/>
    </xf>
    <xf numFmtId="0" fontId="0" fillId="0" borderId="9" xfId="0" applyFont="1" applyFill="1" applyBorder="1" applyAlignment="1" applyProtection="1">
      <alignment horizontal="left"/>
      <protection/>
    </xf>
    <xf numFmtId="0" fontId="0" fillId="0" borderId="19" xfId="0" applyBorder="1" applyAlignment="1" applyProtection="1">
      <alignment/>
      <protection/>
    </xf>
    <xf numFmtId="2" fontId="0" fillId="0" borderId="1" xfId="0" applyNumberFormat="1" applyFill="1" applyBorder="1" applyAlignment="1" applyProtection="1">
      <alignment/>
      <protection/>
    </xf>
    <xf numFmtId="2" fontId="0" fillId="0" borderId="1" xfId="0" applyNumberFormat="1" applyFill="1" applyBorder="1" applyAlignment="1" applyProtection="1">
      <alignment/>
      <protection/>
    </xf>
    <xf numFmtId="174" fontId="0" fillId="0" borderId="1" xfId="0" applyNumberFormat="1" applyFill="1" applyBorder="1" applyAlignment="1" applyProtection="1">
      <alignment/>
      <protection/>
    </xf>
    <xf numFmtId="0" fontId="0" fillId="0" borderId="5" xfId="0" applyFill="1" applyBorder="1" applyAlignment="1" applyProtection="1">
      <alignment/>
      <protection/>
    </xf>
    <xf numFmtId="0" fontId="4" fillId="0" borderId="1"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174" fontId="0" fillId="0" borderId="3" xfId="0" applyNumberFormat="1" applyFill="1" applyBorder="1" applyAlignment="1" applyProtection="1">
      <alignment/>
      <protection/>
    </xf>
    <xf numFmtId="0" fontId="0" fillId="0" borderId="3" xfId="0" applyFill="1" applyBorder="1" applyAlignment="1" applyProtection="1">
      <alignment/>
      <protection/>
    </xf>
    <xf numFmtId="0" fontId="0" fillId="0" borderId="3" xfId="0" applyFill="1" applyBorder="1" applyAlignment="1" applyProtection="1">
      <alignment/>
      <protection/>
    </xf>
    <xf numFmtId="174" fontId="0" fillId="0" borderId="3" xfId="0" applyNumberFormat="1" applyFill="1" applyBorder="1" applyAlignment="1" applyProtection="1">
      <alignment/>
      <protection/>
    </xf>
    <xf numFmtId="0" fontId="0" fillId="0" borderId="8" xfId="0" applyFill="1" applyBorder="1" applyAlignment="1" applyProtection="1">
      <alignment/>
      <protection/>
    </xf>
    <xf numFmtId="0" fontId="0" fillId="3" borderId="1" xfId="0" applyFont="1" applyFill="1" applyBorder="1" applyAlignment="1" applyProtection="1">
      <alignment vertical="center"/>
      <protection locked="0"/>
    </xf>
    <xf numFmtId="0" fontId="0" fillId="3" borderId="1" xfId="0" applyFont="1" applyFill="1" applyBorder="1" applyAlignment="1" applyProtection="1">
      <alignment horizontal="left" vertical="center"/>
      <protection locked="0"/>
    </xf>
    <xf numFmtId="0" fontId="0" fillId="0" borderId="22" xfId="0" applyBorder="1" applyAlignment="1" applyProtection="1">
      <alignment vertical="center"/>
      <protection/>
    </xf>
    <xf numFmtId="0" fontId="0" fillId="2" borderId="23" xfId="0" applyFill="1" applyBorder="1" applyAlignment="1" applyProtection="1">
      <alignment horizontal="right" vertical="center"/>
      <protection/>
    </xf>
    <xf numFmtId="174" fontId="0" fillId="2" borderId="6" xfId="0" applyNumberFormat="1" applyFill="1" applyBorder="1" applyAlignment="1" applyProtection="1">
      <alignment vertical="center"/>
      <protection/>
    </xf>
    <xf numFmtId="0" fontId="0" fillId="2" borderId="24" xfId="0" applyFill="1" applyBorder="1" applyAlignment="1" applyProtection="1">
      <alignment vertical="center"/>
      <protection/>
    </xf>
    <xf numFmtId="0" fontId="0" fillId="2" borderId="25" xfId="0" applyFill="1" applyBorder="1" applyAlignment="1" applyProtection="1">
      <alignment horizontal="right" vertical="center"/>
      <protection/>
    </xf>
    <xf numFmtId="0" fontId="4" fillId="0" borderId="0" xfId="0" applyFont="1" applyFill="1" applyBorder="1" applyAlignment="1" applyProtection="1">
      <alignment horizontal="center"/>
      <protection/>
    </xf>
    <xf numFmtId="0" fontId="0" fillId="0" borderId="1" xfId="0" applyFont="1" applyBorder="1" applyAlignment="1" applyProtection="1">
      <alignment horizontal="right" vertical="center"/>
      <protection/>
    </xf>
    <xf numFmtId="0" fontId="0" fillId="0" borderId="1" xfId="0" applyFont="1" applyBorder="1" applyAlignment="1" applyProtection="1">
      <alignment horizontal="left" vertical="center"/>
      <protection/>
    </xf>
    <xf numFmtId="0" fontId="0" fillId="0" borderId="0" xfId="0" applyFill="1" applyAlignment="1" applyProtection="1">
      <alignment/>
      <protection/>
    </xf>
    <xf numFmtId="0" fontId="0" fillId="0" borderId="21" xfId="0" applyBorder="1" applyAlignment="1" applyProtection="1">
      <alignment horizontal="right" vertical="center"/>
      <protection/>
    </xf>
    <xf numFmtId="0" fontId="0" fillId="0" borderId="26" xfId="0" applyBorder="1" applyAlignment="1" applyProtection="1">
      <alignment vertical="center"/>
      <protection/>
    </xf>
    <xf numFmtId="174" fontId="0" fillId="2" borderId="27" xfId="0" applyNumberFormat="1" applyFill="1" applyBorder="1" applyAlignment="1" applyProtection="1">
      <alignment vertical="center"/>
      <protection/>
    </xf>
    <xf numFmtId="0" fontId="0" fillId="2" borderId="27" xfId="0" applyFill="1" applyBorder="1" applyAlignment="1" applyProtection="1">
      <alignment vertical="center"/>
      <protection/>
    </xf>
    <xf numFmtId="174" fontId="0" fillId="2" borderId="9" xfId="0" applyNumberFormat="1" applyFill="1" applyBorder="1" applyAlignment="1" applyProtection="1">
      <alignment vertical="center"/>
      <protection/>
    </xf>
    <xf numFmtId="0" fontId="0" fillId="0" borderId="28" xfId="0" applyBorder="1" applyAlignment="1" applyProtection="1">
      <alignment vertical="center"/>
      <protection/>
    </xf>
    <xf numFmtId="174" fontId="0" fillId="2" borderId="1" xfId="0" applyNumberFormat="1" applyFont="1" applyFill="1" applyBorder="1" applyAlignment="1" applyProtection="1">
      <alignment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174" fontId="0" fillId="0" borderId="6" xfId="0" applyNumberFormat="1" applyFill="1" applyBorder="1" applyAlignment="1" applyProtection="1">
      <alignment horizontal="right" vertical="center"/>
      <protection/>
    </xf>
    <xf numFmtId="0" fontId="0" fillId="0" borderId="12" xfId="0" applyFill="1" applyBorder="1" applyAlignment="1" applyProtection="1">
      <alignment horizontal="right" vertical="center"/>
      <protection/>
    </xf>
    <xf numFmtId="174" fontId="0" fillId="0" borderId="3" xfId="0" applyNumberFormat="1" applyFill="1" applyBorder="1" applyAlignment="1" applyProtection="1">
      <alignment horizontal="right" vertical="center"/>
      <protection/>
    </xf>
    <xf numFmtId="0" fontId="0" fillId="0" borderId="8" xfId="0" applyBorder="1" applyAlignment="1" applyProtection="1">
      <alignment horizontal="right" vertical="center"/>
      <protection/>
    </xf>
    <xf numFmtId="174" fontId="0" fillId="0" borderId="9" xfId="0" applyNumberFormat="1" applyFill="1" applyBorder="1" applyAlignment="1" applyProtection="1">
      <alignment horizontal="right" vertical="center"/>
      <protection/>
    </xf>
    <xf numFmtId="0" fontId="0" fillId="0" borderId="19" xfId="0" applyFill="1" applyBorder="1" applyAlignment="1" applyProtection="1">
      <alignment horizontal="right" vertical="center"/>
      <protection/>
    </xf>
    <xf numFmtId="174" fontId="0" fillId="0" borderId="29" xfId="0" applyNumberFormat="1" applyFill="1" applyBorder="1" applyAlignment="1" applyProtection="1">
      <alignment horizontal="right" vertical="center"/>
      <protection/>
    </xf>
    <xf numFmtId="174" fontId="0" fillId="0" borderId="6" xfId="0" applyNumberFormat="1" applyBorder="1" applyAlignment="1" applyProtection="1">
      <alignment vertical="center"/>
      <protection/>
    </xf>
    <xf numFmtId="174" fontId="0" fillId="0" borderId="6" xfId="0" applyNumberFormat="1" applyFill="1" applyBorder="1" applyAlignment="1" applyProtection="1">
      <alignment vertical="center"/>
      <protection/>
    </xf>
    <xf numFmtId="174" fontId="0" fillId="0" borderId="29" xfId="0" applyNumberFormat="1" applyFill="1" applyBorder="1" applyAlignment="1" applyProtection="1">
      <alignment vertical="center"/>
      <protection/>
    </xf>
    <xf numFmtId="0" fontId="0" fillId="0" borderId="5" xfId="0" applyFill="1" applyBorder="1" applyAlignment="1" applyProtection="1">
      <alignment horizontal="right" vertical="center"/>
      <protection/>
    </xf>
    <xf numFmtId="174" fontId="4" fillId="2" borderId="6" xfId="0" applyNumberFormat="1" applyFont="1" applyFill="1" applyBorder="1" applyAlignment="1" applyProtection="1">
      <alignment/>
      <protection/>
    </xf>
    <xf numFmtId="0" fontId="4" fillId="2" borderId="6" xfId="0" applyFont="1" applyFill="1" applyBorder="1" applyAlignment="1" applyProtection="1">
      <alignment vertical="center"/>
      <protection/>
    </xf>
    <xf numFmtId="0" fontId="4" fillId="2" borderId="6" xfId="0" applyFont="1" applyFill="1" applyBorder="1" applyAlignment="1" applyProtection="1">
      <alignment horizontal="right" vertical="center"/>
      <protection/>
    </xf>
    <xf numFmtId="0" fontId="0" fillId="0" borderId="2" xfId="0" applyBorder="1" applyAlignment="1" applyProtection="1">
      <alignment/>
      <protection/>
    </xf>
    <xf numFmtId="174" fontId="4" fillId="2" borderId="1" xfId="0" applyNumberFormat="1" applyFont="1" applyFill="1" applyBorder="1" applyAlignment="1" applyProtection="1">
      <alignment/>
      <protection/>
    </xf>
    <xf numFmtId="0" fontId="0" fillId="0" borderId="4" xfId="0" applyBorder="1" applyAlignment="1" applyProtection="1">
      <alignment/>
      <protection/>
    </xf>
    <xf numFmtId="0" fontId="0" fillId="0" borderId="3" xfId="0" applyBorder="1" applyAlignment="1" applyProtection="1">
      <alignment/>
      <protection/>
    </xf>
    <xf numFmtId="174" fontId="4" fillId="2" borderId="3" xfId="0" applyNumberFormat="1" applyFont="1" applyFill="1" applyBorder="1" applyAlignment="1" applyProtection="1">
      <alignment/>
      <protection/>
    </xf>
    <xf numFmtId="0" fontId="0" fillId="4" borderId="1" xfId="0" applyNumberFormat="1" applyFill="1" applyBorder="1" applyAlignment="1" applyProtection="1">
      <alignment vertical="center"/>
      <protection locked="0"/>
    </xf>
    <xf numFmtId="0" fontId="0" fillId="4" borderId="20" xfId="0" applyNumberFormat="1" applyFill="1" applyBorder="1" applyAlignment="1" applyProtection="1">
      <alignment vertical="center"/>
      <protection locked="0"/>
    </xf>
    <xf numFmtId="174" fontId="11" fillId="5" borderId="3" xfId="0" applyNumberFormat="1" applyFont="1" applyFill="1" applyBorder="1" applyAlignment="1">
      <alignment vertical="center"/>
    </xf>
    <xf numFmtId="0" fontId="11" fillId="5" borderId="3" xfId="0" applyFont="1" applyFill="1" applyBorder="1" applyAlignment="1">
      <alignment vertical="center"/>
    </xf>
    <xf numFmtId="0" fontId="11" fillId="5" borderId="8" xfId="0" applyFont="1" applyFill="1" applyBorder="1" applyAlignment="1">
      <alignment horizontal="right" vertical="center"/>
    </xf>
    <xf numFmtId="0" fontId="11" fillId="0" borderId="4" xfId="0" applyFont="1" applyFill="1" applyBorder="1" applyAlignment="1">
      <alignment vertical="center"/>
    </xf>
    <xf numFmtId="0" fontId="0" fillId="0" borderId="5" xfId="0" applyBorder="1" applyAlignment="1" applyProtection="1">
      <alignment/>
      <protection/>
    </xf>
    <xf numFmtId="0" fontId="0" fillId="0" borderId="3" xfId="0" applyBorder="1" applyAlignment="1" applyProtection="1">
      <alignment horizontal="center"/>
      <protection/>
    </xf>
    <xf numFmtId="0" fontId="0" fillId="0" borderId="8" xfId="0" applyBorder="1" applyAlignment="1" applyProtection="1">
      <alignment horizontal="center"/>
      <protection/>
    </xf>
    <xf numFmtId="0" fontId="0" fillId="0" borderId="5" xfId="0" applyBorder="1" applyAlignment="1">
      <alignment/>
    </xf>
    <xf numFmtId="0" fontId="0" fillId="0" borderId="8" xfId="0" applyBorder="1" applyAlignment="1">
      <alignment/>
    </xf>
    <xf numFmtId="0" fontId="0" fillId="0" borderId="8" xfId="0" applyBorder="1" applyAlignment="1" applyProtection="1">
      <alignment/>
      <protection/>
    </xf>
    <xf numFmtId="0" fontId="0" fillId="0" borderId="13" xfId="0" applyBorder="1" applyAlignment="1">
      <alignment vertical="center"/>
    </xf>
    <xf numFmtId="0" fontId="0" fillId="0" borderId="0" xfId="0" applyFont="1" applyAlignment="1">
      <alignment/>
    </xf>
    <xf numFmtId="0" fontId="4" fillId="0" borderId="2" xfId="0" applyFont="1" applyFill="1" applyBorder="1" applyAlignment="1">
      <alignment horizontal="center"/>
    </xf>
    <xf numFmtId="0" fontId="4" fillId="0" borderId="1" xfId="0" applyFont="1" applyFill="1" applyBorder="1" applyAlignment="1">
      <alignment horizontal="center"/>
    </xf>
    <xf numFmtId="0" fontId="0" fillId="0" borderId="2" xfId="0" applyFont="1" applyFill="1" applyBorder="1" applyAlignment="1">
      <alignment/>
    </xf>
    <xf numFmtId="174" fontId="0" fillId="0" borderId="1" xfId="0" applyNumberFormat="1" applyFont="1" applyFill="1" applyBorder="1" applyAlignment="1">
      <alignment/>
    </xf>
    <xf numFmtId="0" fontId="0" fillId="0" borderId="4" xfId="0" applyFont="1" applyFill="1" applyBorder="1" applyAlignment="1">
      <alignment/>
    </xf>
    <xf numFmtId="174" fontId="0" fillId="0" borderId="3" xfId="0" applyNumberFormat="1" applyFont="1" applyFill="1" applyBorder="1" applyAlignment="1">
      <alignment/>
    </xf>
    <xf numFmtId="0" fontId="4" fillId="0" borderId="5" xfId="0" applyFont="1" applyFill="1" applyBorder="1" applyAlignment="1">
      <alignment horizontal="center"/>
    </xf>
    <xf numFmtId="174" fontId="0" fillId="0" borderId="5" xfId="0" applyNumberFormat="1" applyFont="1" applyFill="1" applyBorder="1" applyAlignment="1">
      <alignment/>
    </xf>
    <xf numFmtId="174" fontId="0" fillId="0" borderId="8" xfId="0" applyNumberFormat="1" applyFont="1" applyFill="1" applyBorder="1" applyAlignment="1">
      <alignment/>
    </xf>
    <xf numFmtId="0" fontId="4" fillId="0" borderId="2" xfId="0" applyFont="1" applyBorder="1" applyAlignment="1">
      <alignment/>
    </xf>
    <xf numFmtId="0" fontId="4" fillId="0" borderId="1" xfId="0" applyFont="1" applyBorder="1" applyAlignment="1">
      <alignment/>
    </xf>
    <xf numFmtId="0" fontId="4" fillId="0" borderId="5" xfId="0" applyFont="1" applyBorder="1" applyAlignment="1">
      <alignment/>
    </xf>
    <xf numFmtId="0" fontId="0" fillId="0" borderId="1" xfId="0" applyFont="1" applyBorder="1" applyAlignment="1">
      <alignment horizontal="right" vertical="center"/>
    </xf>
    <xf numFmtId="0" fontId="0" fillId="0" borderId="1" xfId="0" applyFont="1" applyBorder="1" applyAlignment="1" quotePrefix="1">
      <alignment vertical="center"/>
    </xf>
    <xf numFmtId="0" fontId="0" fillId="0" borderId="1" xfId="0" applyNumberFormat="1" applyFill="1" applyBorder="1" applyAlignment="1" applyProtection="1">
      <alignment vertical="center"/>
      <protection/>
    </xf>
    <xf numFmtId="0" fontId="8" fillId="0" borderId="0" xfId="0" applyFont="1" applyFill="1" applyBorder="1" applyAlignment="1" applyProtection="1">
      <alignment vertical="center"/>
      <protection/>
    </xf>
    <xf numFmtId="0" fontId="0" fillId="0" borderId="19" xfId="0" applyBorder="1" applyAlignment="1" applyProtection="1">
      <alignment vertical="center"/>
      <protection/>
    </xf>
    <xf numFmtId="0" fontId="0" fillId="0" borderId="5" xfId="0" applyBorder="1" applyAlignment="1" applyProtection="1">
      <alignment horizontal="center" vertical="center"/>
      <protection/>
    </xf>
    <xf numFmtId="0" fontId="0" fillId="0" borderId="12" xfId="0" applyBorder="1" applyAlignment="1" applyProtection="1">
      <alignment horizontal="right" vertical="center"/>
      <protection/>
    </xf>
    <xf numFmtId="0" fontId="0" fillId="0" borderId="12" xfId="0" applyBorder="1" applyAlignment="1" applyProtection="1">
      <alignment vertical="center"/>
      <protection/>
    </xf>
    <xf numFmtId="0" fontId="0" fillId="0" borderId="20"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30" xfId="0" applyBorder="1" applyAlignment="1" applyProtection="1">
      <alignment horizontal="center" vertical="center"/>
      <protection/>
    </xf>
    <xf numFmtId="0" fontId="5" fillId="6" borderId="31" xfId="0" applyFont="1" applyFill="1" applyBorder="1" applyAlignment="1">
      <alignment horizontal="center" vertical="center"/>
    </xf>
    <xf numFmtId="0" fontId="0" fillId="0" borderId="21" xfId="0" applyBorder="1" applyAlignment="1" applyProtection="1">
      <alignment vertical="center"/>
      <protection/>
    </xf>
    <xf numFmtId="0" fontId="0" fillId="0" borderId="1" xfId="0" applyFill="1" applyBorder="1" applyAlignment="1" applyProtection="1">
      <alignment horizontal="center"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6" fillId="6" borderId="34" xfId="0" applyFont="1" applyFill="1" applyBorder="1" applyAlignment="1" applyProtection="1">
      <alignment horizontal="center" vertical="center"/>
      <protection/>
    </xf>
    <xf numFmtId="0" fontId="6" fillId="6" borderId="6" xfId="0" applyFont="1" applyFill="1" applyBorder="1" applyAlignment="1" applyProtection="1">
      <alignment horizontal="center" vertical="center"/>
      <protection/>
    </xf>
    <xf numFmtId="0" fontId="0" fillId="0" borderId="6" xfId="0" applyBorder="1" applyAlignment="1" applyProtection="1">
      <alignment vertical="center"/>
      <protection/>
    </xf>
    <xf numFmtId="0" fontId="0" fillId="0" borderId="12" xfId="0" applyBorder="1" applyAlignment="1" applyProtection="1">
      <alignment vertical="center"/>
      <protection/>
    </xf>
    <xf numFmtId="0" fontId="0" fillId="0" borderId="35" xfId="0" applyFill="1" applyBorder="1" applyAlignment="1" applyProtection="1" quotePrefix="1">
      <alignment vertical="center"/>
      <protection/>
    </xf>
    <xf numFmtId="0" fontId="0" fillId="0" borderId="17" xfId="0" applyBorder="1" applyAlignment="1" applyProtection="1">
      <alignment vertical="center"/>
      <protection/>
    </xf>
    <xf numFmtId="0" fontId="0" fillId="0" borderId="35"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9"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35" xfId="0" applyBorder="1" applyAlignment="1" applyProtection="1">
      <alignment vertical="center"/>
      <protection/>
    </xf>
    <xf numFmtId="0" fontId="0" fillId="0" borderId="14" xfId="0" applyBorder="1" applyAlignment="1" applyProtection="1" quotePrefix="1">
      <alignment/>
      <protection/>
    </xf>
    <xf numFmtId="0" fontId="0" fillId="0" borderId="17" xfId="0" applyBorder="1" applyAlignment="1" applyProtection="1">
      <alignment/>
      <protection/>
    </xf>
    <xf numFmtId="0" fontId="0" fillId="0" borderId="1" xfId="0" applyFill="1" applyBorder="1" applyAlignment="1" applyProtection="1">
      <alignment vertical="center"/>
      <protection/>
    </xf>
    <xf numFmtId="0" fontId="4" fillId="6" borderId="34" xfId="0" applyFont="1" applyFill="1" applyBorder="1" applyAlignment="1" applyProtection="1">
      <alignment horizontal="center" vertical="center"/>
      <protection/>
    </xf>
    <xf numFmtId="0" fontId="4" fillId="6" borderId="6" xfId="0" applyFont="1" applyFill="1" applyBorder="1" applyAlignment="1" applyProtection="1">
      <alignment horizontal="center" vertical="center"/>
      <protection/>
    </xf>
    <xf numFmtId="0" fontId="4" fillId="6" borderId="12"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left" vertical="center"/>
      <protection/>
    </xf>
    <xf numFmtId="0" fontId="0" fillId="0" borderId="2" xfId="0" applyBorder="1" applyAlignment="1" applyProtection="1">
      <alignment vertical="center"/>
      <protection/>
    </xf>
    <xf numFmtId="0" fontId="0" fillId="0" borderId="34" xfId="0" applyBorder="1" applyAlignment="1" applyProtection="1">
      <alignment horizontal="center" vertical="center"/>
      <protection/>
    </xf>
    <xf numFmtId="0" fontId="0" fillId="0" borderId="2" xfId="0" applyBorder="1" applyAlignment="1" applyProtection="1">
      <alignment horizontal="center" vertical="center"/>
      <protection/>
    </xf>
    <xf numFmtId="0" fontId="4" fillId="6" borderId="39" xfId="0" applyFont="1" applyFill="1" applyBorder="1" applyAlignment="1" applyProtection="1">
      <alignment horizontal="center" vertical="center"/>
      <protection/>
    </xf>
    <xf numFmtId="0" fontId="4" fillId="6" borderId="24" xfId="0" applyFont="1"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8" xfId="0" applyBorder="1" applyAlignment="1" applyProtection="1">
      <alignment vertical="center"/>
      <protection/>
    </xf>
    <xf numFmtId="0" fontId="0" fillId="0" borderId="5" xfId="0" applyBorder="1" applyAlignment="1" applyProtection="1">
      <alignment vertical="center"/>
      <protection/>
    </xf>
    <xf numFmtId="0" fontId="0" fillId="0" borderId="1" xfId="0" applyFill="1" applyBorder="1" applyAlignment="1" applyProtection="1" quotePrefix="1">
      <alignment vertical="center"/>
      <protection/>
    </xf>
    <xf numFmtId="0" fontId="0" fillId="0" borderId="4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3" xfId="0" applyFill="1" applyBorder="1" applyAlignment="1" applyProtection="1">
      <alignment vertical="center"/>
      <protection/>
    </xf>
    <xf numFmtId="0" fontId="0" fillId="0" borderId="4" xfId="0" applyFill="1" applyBorder="1" applyAlignment="1" applyProtection="1">
      <alignment vertical="center"/>
      <protection/>
    </xf>
    <xf numFmtId="0" fontId="0" fillId="0" borderId="15" xfId="0" applyBorder="1" applyAlignment="1" applyProtection="1">
      <alignment/>
      <protection/>
    </xf>
    <xf numFmtId="0" fontId="0" fillId="0" borderId="20" xfId="0" applyFill="1" applyBorder="1" applyAlignment="1" applyProtection="1">
      <alignment horizontal="right" vertical="center"/>
      <protection/>
    </xf>
    <xf numFmtId="2" fontId="0" fillId="0" borderId="9" xfId="0" applyNumberFormat="1" applyFill="1" applyBorder="1" applyAlignment="1" applyProtection="1">
      <alignment vertical="center"/>
      <protection/>
    </xf>
    <xf numFmtId="2" fontId="0" fillId="0" borderId="20" xfId="0" applyNumberFormat="1" applyFill="1" applyBorder="1" applyAlignment="1" applyProtection="1">
      <alignment vertical="center"/>
      <protection/>
    </xf>
    <xf numFmtId="0" fontId="0" fillId="0" borderId="20" xfId="0" applyFill="1" applyBorder="1" applyAlignment="1" applyProtection="1">
      <alignment vertical="center"/>
      <protection/>
    </xf>
    <xf numFmtId="0" fontId="0" fillId="3" borderId="1" xfId="0" applyFill="1" applyBorder="1" applyAlignment="1" applyProtection="1">
      <alignment horizontal="right"/>
      <protection locked="0"/>
    </xf>
    <xf numFmtId="0" fontId="0" fillId="3" borderId="1" xfId="0" applyFont="1" applyFill="1" applyBorder="1" applyAlignment="1" applyProtection="1">
      <alignment horizontal="right" vertical="center"/>
      <protection locked="0"/>
    </xf>
    <xf numFmtId="174" fontId="0" fillId="2" borderId="6" xfId="0" applyNumberFormat="1" applyFill="1" applyBorder="1" applyAlignment="1" applyProtection="1">
      <alignment horizontal="right" vertical="center"/>
      <protection/>
    </xf>
    <xf numFmtId="0" fontId="0" fillId="2" borderId="6" xfId="0" applyFill="1" applyBorder="1" applyAlignment="1" applyProtection="1">
      <alignment vertical="center"/>
      <protection/>
    </xf>
    <xf numFmtId="0" fontId="0" fillId="2" borderId="12" xfId="0" applyFill="1" applyBorder="1" applyAlignment="1" applyProtection="1">
      <alignment horizontal="right" vertical="center"/>
      <protection/>
    </xf>
    <xf numFmtId="174" fontId="0" fillId="0" borderId="1" xfId="0" applyNumberFormat="1" applyFill="1" applyBorder="1" applyAlignment="1" applyProtection="1">
      <alignment horizontal="right" vertical="center"/>
      <protection/>
    </xf>
    <xf numFmtId="174" fontId="0" fillId="2" borderId="1" xfId="0" applyNumberFormat="1" applyFill="1" applyBorder="1" applyAlignment="1" applyProtection="1">
      <alignment horizontal="right" vertical="center"/>
      <protection/>
    </xf>
    <xf numFmtId="0" fontId="0" fillId="0" borderId="14" xfId="0" applyBorder="1" applyAlignment="1" applyProtection="1">
      <alignment/>
      <protection/>
    </xf>
    <xf numFmtId="174" fontId="0" fillId="2" borderId="3" xfId="0" applyNumberFormat="1" applyFill="1" applyBorder="1" applyAlignment="1" applyProtection="1">
      <alignment horizontal="right" vertical="center"/>
      <protection/>
    </xf>
    <xf numFmtId="174" fontId="0" fillId="0" borderId="0" xfId="0" applyNumberFormat="1" applyAlignment="1" applyProtection="1">
      <alignment/>
      <protection/>
    </xf>
    <xf numFmtId="0" fontId="0" fillId="0" borderId="41" xfId="0" applyBorder="1" applyAlignment="1" applyProtection="1">
      <alignment/>
      <protection/>
    </xf>
    <xf numFmtId="174" fontId="0" fillId="0" borderId="3" xfId="0" applyNumberFormat="1" applyBorder="1" applyAlignment="1" applyProtection="1">
      <alignment/>
      <protection/>
    </xf>
    <xf numFmtId="174" fontId="0" fillId="2" borderId="1" xfId="0" applyNumberFormat="1" applyFill="1" applyBorder="1" applyAlignment="1" applyProtection="1">
      <alignment/>
      <protection/>
    </xf>
    <xf numFmtId="0" fontId="0" fillId="0" borderId="1" xfId="0" applyFont="1" applyFill="1" applyBorder="1" applyAlignment="1" applyProtection="1">
      <alignment vertical="center"/>
      <protection/>
    </xf>
    <xf numFmtId="0" fontId="0" fillId="0" borderId="4" xfId="0" applyBorder="1" applyAlignment="1" applyProtection="1">
      <alignment vertical="center"/>
      <protection/>
    </xf>
    <xf numFmtId="0" fontId="0" fillId="0" borderId="3"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22" xfId="0" applyBorder="1" applyAlignment="1" applyProtection="1">
      <alignment vertical="center"/>
      <protection/>
    </xf>
    <xf numFmtId="0" fontId="0" fillId="0" borderId="7" xfId="0" applyBorder="1" applyAlignment="1" applyProtection="1">
      <alignment vertical="center"/>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2" xfId="0" applyFill="1" applyBorder="1" applyAlignment="1" applyProtection="1">
      <alignment vertical="center"/>
      <protection/>
    </xf>
    <xf numFmtId="0" fontId="0" fillId="0" borderId="1" xfId="0" applyBorder="1" applyAlignment="1" applyProtection="1">
      <alignment vertical="center"/>
      <protection/>
    </xf>
    <xf numFmtId="0" fontId="0" fillId="0" borderId="13" xfId="0" applyBorder="1" applyAlignment="1" applyProtection="1">
      <alignment/>
      <protection/>
    </xf>
    <xf numFmtId="0" fontId="5" fillId="6" borderId="46" xfId="0" applyFont="1" applyFill="1" applyBorder="1" applyAlignment="1">
      <alignment horizontal="center" vertical="center"/>
    </xf>
    <xf numFmtId="0" fontId="8" fillId="6" borderId="47"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2" borderId="1" xfId="0" applyFill="1" applyBorder="1" applyAlignment="1" applyProtection="1">
      <alignment horizontal="center" vertical="center"/>
      <protection/>
    </xf>
    <xf numFmtId="0" fontId="0" fillId="2" borderId="1" xfId="0" applyFill="1" applyBorder="1" applyAlignment="1" applyProtection="1">
      <alignment vertical="center"/>
      <protection/>
    </xf>
    <xf numFmtId="0" fontId="0" fillId="2" borderId="5" xfId="0" applyFill="1" applyBorder="1" applyAlignment="1" applyProtection="1">
      <alignment vertical="center"/>
      <protection/>
    </xf>
    <xf numFmtId="0" fontId="3" fillId="0" borderId="38" xfId="0" applyFont="1" applyFill="1" applyBorder="1" applyAlignment="1" applyProtection="1">
      <alignment horizontal="center" vertical="center"/>
      <protection/>
    </xf>
    <xf numFmtId="0" fontId="0" fillId="0" borderId="9" xfId="0" applyBorder="1" applyAlignment="1" applyProtection="1">
      <alignment vertical="center"/>
      <protection/>
    </xf>
    <xf numFmtId="0" fontId="0" fillId="0" borderId="19" xfId="0" applyBorder="1" applyAlignment="1" applyProtection="1">
      <alignment vertical="center"/>
      <protection/>
    </xf>
    <xf numFmtId="0" fontId="5" fillId="6" borderId="31" xfId="0" applyFont="1" applyFill="1" applyBorder="1" applyAlignment="1" applyProtection="1">
      <alignment horizontal="center" vertical="center"/>
      <protection/>
    </xf>
    <xf numFmtId="0" fontId="5" fillId="6" borderId="46" xfId="0" applyFont="1" applyFill="1" applyBorder="1" applyAlignment="1" applyProtection="1">
      <alignment horizontal="center" vertical="center"/>
      <protection/>
    </xf>
    <xf numFmtId="0" fontId="8" fillId="0" borderId="46" xfId="0" applyFont="1" applyBorder="1" applyAlignment="1" applyProtection="1">
      <alignment vertical="center"/>
      <protection/>
    </xf>
    <xf numFmtId="0" fontId="8" fillId="0" borderId="47" xfId="0" applyFont="1" applyBorder="1" applyAlignment="1" applyProtection="1">
      <alignment vertical="center"/>
      <protection/>
    </xf>
    <xf numFmtId="0" fontId="0" fillId="0" borderId="1" xfId="0" applyBorder="1" applyAlignment="1" applyProtection="1">
      <alignment horizontal="center" vertical="center"/>
      <protection/>
    </xf>
    <xf numFmtId="0" fontId="0" fillId="0" borderId="1" xfId="0" applyFill="1" applyBorder="1" applyAlignment="1" applyProtection="1">
      <alignment horizontal="center"/>
      <protection/>
    </xf>
    <xf numFmtId="0" fontId="0" fillId="0" borderId="1" xfId="0" applyBorder="1" applyAlignment="1" applyProtection="1">
      <alignment/>
      <protection/>
    </xf>
    <xf numFmtId="0" fontId="0" fillId="0" borderId="1" xfId="0" applyFill="1" applyBorder="1" applyAlignment="1" applyProtection="1">
      <alignment/>
      <protection/>
    </xf>
    <xf numFmtId="0" fontId="4" fillId="0" borderId="1" xfId="0" applyFont="1" applyBorder="1" applyAlignment="1" applyProtection="1">
      <alignment horizontal="center"/>
      <protection/>
    </xf>
    <xf numFmtId="0" fontId="0" fillId="0" borderId="1" xfId="0" applyBorder="1" applyAlignment="1" applyProtection="1">
      <alignment horizontal="center"/>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9" xfId="0" applyBorder="1" applyAlignment="1" applyProtection="1">
      <alignment/>
      <protection/>
    </xf>
    <xf numFmtId="0" fontId="0" fillId="0" borderId="2" xfId="0" applyFont="1" applyFill="1" applyBorder="1" applyAlignment="1" applyProtection="1">
      <alignment horizontal="left" vertical="center"/>
      <protection/>
    </xf>
    <xf numFmtId="0" fontId="4" fillId="0" borderId="1" xfId="0" applyFont="1"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12" xfId="0" applyBorder="1" applyAlignment="1" applyProtection="1">
      <alignment horizontal="right" vertical="center"/>
      <protection/>
    </xf>
    <xf numFmtId="0" fontId="0" fillId="0" borderId="5" xfId="0" applyBorder="1" applyAlignment="1" applyProtection="1">
      <alignment horizontal="right" vertical="center"/>
      <protection/>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4" fillId="0" borderId="1" xfId="0" applyFont="1" applyFill="1" applyBorder="1" applyAlignment="1" applyProtection="1">
      <alignment horizontal="center" vertical="center"/>
      <protection/>
    </xf>
    <xf numFmtId="0" fontId="4" fillId="6" borderId="6" xfId="0" applyFont="1" applyFill="1" applyBorder="1" applyAlignment="1" applyProtection="1">
      <alignment vertical="center"/>
      <protection/>
    </xf>
    <xf numFmtId="0" fontId="4" fillId="0" borderId="1" xfId="0" applyFont="1" applyFill="1" applyBorder="1" applyAlignment="1" applyProtection="1">
      <alignment vertical="center"/>
      <protection/>
    </xf>
    <xf numFmtId="0" fontId="0" fillId="4" borderId="1" xfId="0" applyFont="1" applyFill="1" applyBorder="1" applyAlignment="1" applyProtection="1">
      <alignment horizontal="left" vertical="center" wrapText="1"/>
      <protection/>
    </xf>
    <xf numFmtId="0" fontId="0" fillId="0" borderId="1"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3" xfId="0" applyFont="1" applyBorder="1" applyAlignment="1" applyProtection="1">
      <alignment vertical="center" wrapText="1"/>
      <protection/>
    </xf>
    <xf numFmtId="0" fontId="0" fillId="0" borderId="8" xfId="0" applyFont="1" applyBorder="1" applyAlignment="1" applyProtection="1">
      <alignment vertical="center" wrapText="1"/>
      <protection/>
    </xf>
    <xf numFmtId="0" fontId="0" fillId="0" borderId="40" xfId="0" applyFont="1" applyFill="1" applyBorder="1" applyAlignment="1" applyProtection="1">
      <alignment horizontal="left"/>
      <protection/>
    </xf>
    <xf numFmtId="0" fontId="0" fillId="0" borderId="55" xfId="0" applyBorder="1" applyAlignment="1" applyProtection="1">
      <alignment/>
      <protection/>
    </xf>
    <xf numFmtId="0" fontId="0" fillId="0" borderId="15" xfId="0" applyBorder="1" applyAlignment="1" applyProtection="1">
      <alignment/>
      <protection/>
    </xf>
    <xf numFmtId="0" fontId="0" fillId="0" borderId="13" xfId="0" applyFill="1" applyBorder="1" applyAlignment="1" applyProtection="1">
      <alignment/>
      <protection/>
    </xf>
    <xf numFmtId="0" fontId="4" fillId="0" borderId="13" xfId="0" applyFont="1" applyBorder="1" applyAlignment="1" applyProtection="1">
      <alignment horizontal="center"/>
      <protection/>
    </xf>
    <xf numFmtId="0" fontId="0" fillId="0" borderId="14" xfId="0" applyBorder="1" applyAlignment="1" applyProtection="1">
      <alignment/>
      <protection/>
    </xf>
    <xf numFmtId="0" fontId="4" fillId="0" borderId="13" xfId="0" applyFont="1" applyFill="1" applyBorder="1" applyAlignment="1" applyProtection="1">
      <alignment horizontal="center"/>
      <protection/>
    </xf>
    <xf numFmtId="0" fontId="4" fillId="0" borderId="51" xfId="0" applyFont="1" applyBorder="1" applyAlignment="1" applyProtection="1">
      <alignment horizontal="center"/>
      <protection/>
    </xf>
    <xf numFmtId="0" fontId="0" fillId="0" borderId="52" xfId="0" applyBorder="1" applyAlignment="1" applyProtection="1">
      <alignment/>
      <protection/>
    </xf>
    <xf numFmtId="0" fontId="0" fillId="0" borderId="53"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xf>
    <xf numFmtId="0" fontId="0" fillId="0" borderId="22" xfId="0" applyBorder="1" applyAlignment="1" applyProtection="1">
      <alignment/>
      <protection/>
    </xf>
    <xf numFmtId="0" fontId="0" fillId="0" borderId="57" xfId="0" applyBorder="1" applyAlignment="1" applyProtection="1">
      <alignment/>
      <protection/>
    </xf>
    <xf numFmtId="0" fontId="0" fillId="0" borderId="44" xfId="0" applyBorder="1" applyAlignment="1" applyProtection="1">
      <alignment/>
      <protection/>
    </xf>
    <xf numFmtId="0" fontId="0" fillId="0" borderId="26" xfId="0" applyBorder="1" applyAlignment="1" applyProtection="1">
      <alignment/>
      <protection/>
    </xf>
    <xf numFmtId="0" fontId="0" fillId="0" borderId="30" xfId="0" applyFill="1"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horizontal="center" vertical="center"/>
      <protection/>
    </xf>
    <xf numFmtId="0" fontId="0" fillId="0" borderId="60" xfId="0" applyBorder="1" applyAlignment="1" applyProtection="1">
      <alignment vertical="center"/>
      <protection/>
    </xf>
    <xf numFmtId="0" fontId="0" fillId="0" borderId="20" xfId="0" applyBorder="1" applyAlignment="1" applyProtection="1">
      <alignment vertical="center"/>
      <protection/>
    </xf>
    <xf numFmtId="0" fontId="0" fillId="0" borderId="61" xfId="0" applyBorder="1" applyAlignment="1" applyProtection="1">
      <alignment vertical="center"/>
      <protection/>
    </xf>
    <xf numFmtId="0" fontId="0" fillId="0" borderId="6" xfId="0" applyBorder="1" applyAlignment="1" applyProtection="1">
      <alignment horizontal="center" vertical="center"/>
      <protection/>
    </xf>
    <xf numFmtId="0" fontId="0" fillId="0" borderId="12" xfId="0" applyBorder="1" applyAlignment="1" applyProtection="1">
      <alignment horizontal="center" vertical="center"/>
      <protection/>
    </xf>
    <xf numFmtId="0" fontId="5" fillId="6" borderId="51" xfId="0" applyFont="1" applyFill="1" applyBorder="1" applyAlignment="1" applyProtection="1">
      <alignment horizontal="center" vertical="center"/>
      <protection/>
    </xf>
    <xf numFmtId="0" fontId="5" fillId="6" borderId="52"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62" xfId="0" applyBorder="1" applyAlignment="1" applyProtection="1">
      <alignment vertical="center"/>
      <protection/>
    </xf>
    <xf numFmtId="0" fontId="0" fillId="0" borderId="21" xfId="0" applyBorder="1" applyAlignment="1" applyProtection="1">
      <alignment vertical="center"/>
      <protection/>
    </xf>
    <xf numFmtId="0" fontId="0" fillId="0" borderId="5" xfId="0" applyBorder="1" applyAlignment="1" applyProtection="1">
      <alignment/>
      <protection/>
    </xf>
    <xf numFmtId="0" fontId="0" fillId="0" borderId="3" xfId="0" applyBorder="1" applyAlignment="1" applyProtection="1">
      <alignment/>
      <protection/>
    </xf>
    <xf numFmtId="0" fontId="0" fillId="0" borderId="8" xfId="0" applyBorder="1" applyAlignment="1" applyProtection="1">
      <alignment/>
      <protection/>
    </xf>
    <xf numFmtId="0" fontId="0" fillId="0" borderId="2" xfId="0" applyBorder="1" applyAlignment="1" applyProtection="1">
      <alignment/>
      <protection/>
    </xf>
    <xf numFmtId="0" fontId="0" fillId="0" borderId="35" xfId="0" applyBorder="1" applyAlignment="1" applyProtection="1">
      <alignment horizontal="center"/>
      <protection/>
    </xf>
    <xf numFmtId="0" fontId="0" fillId="0" borderId="15" xfId="0" applyBorder="1" applyAlignment="1" applyProtection="1">
      <alignment horizontal="center"/>
      <protection/>
    </xf>
    <xf numFmtId="0" fontId="0" fillId="0" borderId="13" xfId="0" applyBorder="1" applyAlignment="1" applyProtection="1">
      <alignment vertical="center"/>
      <protection/>
    </xf>
    <xf numFmtId="0" fontId="4" fillId="0" borderId="2" xfId="0" applyFont="1" applyFill="1" applyBorder="1" applyAlignment="1" applyProtection="1">
      <alignment horizontal="center" vertical="center"/>
      <protection/>
    </xf>
    <xf numFmtId="0" fontId="0" fillId="0" borderId="1"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4" fillId="0" borderId="2"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5" fillId="0" borderId="38" xfId="0" applyFont="1" applyFill="1" applyBorder="1" applyAlignment="1" applyProtection="1">
      <alignment horizontal="center" vertical="center"/>
      <protection/>
    </xf>
    <xf numFmtId="0" fontId="0" fillId="0" borderId="9" xfId="0"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65" xfId="0" applyBorder="1" applyAlignment="1" applyProtection="1">
      <alignment vertical="center"/>
      <protection/>
    </xf>
    <xf numFmtId="0" fontId="0" fillId="0" borderId="29" xfId="0" applyBorder="1" applyAlignment="1" applyProtection="1">
      <alignment vertical="center"/>
      <protection/>
    </xf>
    <xf numFmtId="0" fontId="0" fillId="0" borderId="45" xfId="0" applyBorder="1" applyAlignment="1" applyProtection="1">
      <alignment vertical="center"/>
      <protection/>
    </xf>
    <xf numFmtId="0" fontId="4" fillId="6" borderId="31" xfId="0" applyFont="1" applyFill="1" applyBorder="1" applyAlignment="1" applyProtection="1">
      <alignment horizontal="center" vertical="center"/>
      <protection/>
    </xf>
    <xf numFmtId="0" fontId="4" fillId="6" borderId="46" xfId="0" applyFont="1" applyFill="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34" xfId="0" applyBorder="1" applyAlignment="1" applyProtection="1">
      <alignment vertical="center"/>
      <protection/>
    </xf>
    <xf numFmtId="0" fontId="0" fillId="0" borderId="1" xfId="0" applyFont="1" applyFill="1" applyBorder="1" applyAlignment="1" applyProtection="1">
      <alignment horizontal="left" vertical="center"/>
      <protection/>
    </xf>
    <xf numFmtId="0" fontId="0" fillId="0" borderId="66" xfId="0" applyBorder="1" applyAlignment="1" applyProtection="1">
      <alignment vertical="center"/>
      <protection/>
    </xf>
    <xf numFmtId="0" fontId="0" fillId="0" borderId="0" xfId="0" applyBorder="1" applyAlignment="1" applyProtection="1">
      <alignment vertical="center"/>
      <protection/>
    </xf>
    <xf numFmtId="0" fontId="0" fillId="0" borderId="1" xfId="0" applyFill="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30" xfId="0" applyBorder="1" applyAlignment="1" applyProtection="1">
      <alignment vertical="center"/>
      <protection/>
    </xf>
    <xf numFmtId="0" fontId="0" fillId="0" borderId="11" xfId="0" applyBorder="1" applyAlignment="1" applyProtection="1">
      <alignment vertical="center"/>
      <protection/>
    </xf>
    <xf numFmtId="0" fontId="0" fillId="0" borderId="58" xfId="0" applyBorder="1" applyAlignment="1" applyProtection="1">
      <alignment vertical="center"/>
      <protection/>
    </xf>
    <xf numFmtId="0" fontId="0" fillId="0" borderId="25" xfId="0" applyBorder="1" applyAlignment="1" applyProtection="1">
      <alignment horizontal="right" vertical="center"/>
      <protection/>
    </xf>
    <xf numFmtId="0" fontId="0" fillId="0" borderId="18" xfId="0" applyBorder="1" applyAlignment="1" applyProtection="1">
      <alignment horizontal="right" vertical="center"/>
      <protection/>
    </xf>
    <xf numFmtId="0" fontId="0" fillId="0" borderId="19" xfId="0" applyBorder="1" applyAlignment="1" applyProtection="1">
      <alignment horizontal="right" vertical="center"/>
      <protection/>
    </xf>
    <xf numFmtId="0" fontId="0" fillId="0" borderId="70" xfId="0" applyBorder="1" applyAlignment="1" applyProtection="1">
      <alignment vertical="center"/>
      <protection/>
    </xf>
    <xf numFmtId="0" fontId="0" fillId="0" borderId="27" xfId="0" applyBorder="1" applyAlignment="1" applyProtection="1">
      <alignment vertical="center"/>
      <protection/>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11" fillId="6" borderId="31"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47" xfId="0" applyFont="1" applyFill="1" applyBorder="1" applyAlignment="1">
      <alignment horizontal="center" vertical="center"/>
    </xf>
    <xf numFmtId="0" fontId="0" fillId="0" borderId="38" xfId="0" applyBorder="1" applyAlignment="1">
      <alignment vertical="center"/>
    </xf>
    <xf numFmtId="0" fontId="0" fillId="0" borderId="9" xfId="0"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30" xfId="0" applyBorder="1" applyAlignment="1">
      <alignment vertical="center"/>
    </xf>
    <xf numFmtId="0" fontId="0" fillId="0" borderId="5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0" fillId="0" borderId="12" xfId="0" applyBorder="1" applyAlignment="1">
      <alignment horizontal="right" vertical="center"/>
    </xf>
    <xf numFmtId="0" fontId="0" fillId="0" borderId="5" xfId="0" applyBorder="1" applyAlignment="1">
      <alignment horizontal="right" vertical="center"/>
    </xf>
    <xf numFmtId="0" fontId="0" fillId="0" borderId="6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6" borderId="39" xfId="0" applyFont="1" applyFill="1" applyBorder="1" applyAlignment="1">
      <alignment horizontal="center" vertical="center"/>
    </xf>
    <xf numFmtId="0" fontId="4" fillId="6" borderId="24"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71"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12" xfId="0" applyBorder="1" applyAlignment="1" quotePrefix="1">
      <alignment horizontal="right"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vertical="center"/>
    </xf>
    <xf numFmtId="0" fontId="0" fillId="0" borderId="6"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2" xfId="0" applyBorder="1" applyAlignment="1">
      <alignment horizontal="center" vertical="center"/>
    </xf>
    <xf numFmtId="0" fontId="0" fillId="0" borderId="59" xfId="0" applyBorder="1" applyAlignment="1">
      <alignment horizontal="center" vertical="center"/>
    </xf>
    <xf numFmtId="0" fontId="4" fillId="6" borderId="3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2" xfId="0" applyFont="1" applyFill="1" applyBorder="1" applyAlignment="1">
      <alignment horizontal="center" vertical="center"/>
    </xf>
    <xf numFmtId="0" fontId="0"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42"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3" xfId="0"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0" fillId="0" borderId="54"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2"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11" fillId="6" borderId="31" xfId="0" applyFont="1" applyFill="1" applyBorder="1" applyAlignment="1" applyProtection="1">
      <alignment horizontal="center" vertical="center"/>
      <protection/>
    </xf>
    <xf numFmtId="0" fontId="11" fillId="6" borderId="46" xfId="0" applyFont="1" applyFill="1" applyBorder="1" applyAlignment="1" applyProtection="1">
      <alignment horizontal="center" vertical="center"/>
      <protection/>
    </xf>
    <xf numFmtId="0" fontId="0" fillId="0" borderId="38" xfId="0" applyBorder="1" applyAlignment="1" applyProtection="1">
      <alignment vertical="center"/>
      <protection/>
    </xf>
    <xf numFmtId="0" fontId="4" fillId="6" borderId="40" xfId="0" applyFont="1" applyFill="1" applyBorder="1" applyAlignment="1" applyProtection="1">
      <alignment horizontal="center" vertical="center"/>
      <protection/>
    </xf>
    <xf numFmtId="0" fontId="4" fillId="6" borderId="32" xfId="0" applyFont="1" applyFill="1" applyBorder="1" applyAlignment="1" applyProtection="1">
      <alignment horizontal="center" vertical="center"/>
      <protection/>
    </xf>
    <xf numFmtId="0" fontId="0" fillId="6" borderId="33" xfId="0" applyFill="1" applyBorder="1" applyAlignment="1" applyProtection="1">
      <alignment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1" xfId="0" applyBorder="1" applyAlignment="1" applyProtection="1">
      <alignment vertical="center"/>
      <protection/>
    </xf>
    <xf numFmtId="0" fontId="0" fillId="0" borderId="15" xfId="0" applyBorder="1" applyAlignment="1">
      <alignment/>
    </xf>
    <xf numFmtId="0" fontId="0" fillId="0" borderId="30" xfId="0" applyBorder="1" applyAlignment="1" applyProtection="1">
      <alignment/>
      <protection/>
    </xf>
    <xf numFmtId="0" fontId="0" fillId="0" borderId="58" xfId="0" applyBorder="1" applyAlignment="1">
      <alignment/>
    </xf>
    <xf numFmtId="0" fontId="0" fillId="0" borderId="73" xfId="0" applyBorder="1" applyAlignment="1" applyProtection="1">
      <alignment/>
      <protection/>
    </xf>
    <xf numFmtId="0" fontId="0" fillId="0" borderId="74" xfId="0" applyBorder="1" applyAlignment="1" applyProtection="1">
      <alignment/>
      <protection/>
    </xf>
    <xf numFmtId="0" fontId="0" fillId="0" borderId="63" xfId="0" applyBorder="1" applyAlignment="1" applyProtection="1">
      <alignment/>
      <protection/>
    </xf>
    <xf numFmtId="0" fontId="0" fillId="0" borderId="65" xfId="0" applyBorder="1" applyAlignment="1" applyProtection="1">
      <alignment/>
      <protection/>
    </xf>
    <xf numFmtId="0" fontId="0" fillId="0" borderId="29" xfId="0" applyBorder="1" applyAlignment="1" applyProtection="1">
      <alignment/>
      <protection/>
    </xf>
    <xf numFmtId="0" fontId="0" fillId="0" borderId="73" xfId="0" applyBorder="1" applyAlignment="1" applyProtection="1">
      <alignment horizontal="center" vertical="center"/>
      <protection/>
    </xf>
    <xf numFmtId="0" fontId="0" fillId="0" borderId="41" xfId="0" applyBorder="1" applyAlignment="1" applyProtection="1">
      <alignment horizontal="center" vertical="center"/>
      <protection/>
    </xf>
    <xf numFmtId="0" fontId="8" fillId="0" borderId="51" xfId="0" applyFont="1" applyFill="1"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174" fontId="0" fillId="0" borderId="28" xfId="0" applyNumberFormat="1" applyBorder="1" applyAlignment="1" applyProtection="1">
      <alignment horizontal="left" vertical="center"/>
      <protection/>
    </xf>
    <xf numFmtId="0" fontId="0" fillId="0" borderId="58" xfId="0" applyBorder="1" applyAlignment="1" applyProtection="1">
      <alignment horizontal="left" vertical="center"/>
      <protection/>
    </xf>
    <xf numFmtId="0" fontId="0" fillId="0" borderId="70" xfId="0" applyBorder="1" applyAlignment="1" applyProtection="1">
      <alignment horizontal="center" vertical="center"/>
      <protection/>
    </xf>
    <xf numFmtId="0" fontId="0" fillId="0" borderId="65" xfId="0" applyBorder="1" applyAlignment="1" applyProtection="1">
      <alignment horizontal="center" vertical="center"/>
      <protection/>
    </xf>
    <xf numFmtId="174" fontId="0" fillId="0" borderId="39" xfId="0" applyNumberFormat="1" applyBorder="1" applyAlignment="1" applyProtection="1">
      <alignment horizontal="center" vertical="center"/>
      <protection/>
    </xf>
    <xf numFmtId="174" fontId="0" fillId="0" borderId="70" xfId="0" applyNumberFormat="1" applyBorder="1" applyAlignment="1" applyProtection="1">
      <alignment horizontal="center" vertical="center"/>
      <protection/>
    </xf>
    <xf numFmtId="174" fontId="0" fillId="0" borderId="34" xfId="0" applyNumberFormat="1" applyBorder="1" applyAlignment="1" applyProtection="1">
      <alignment horizontal="center" vertical="center"/>
      <protection/>
    </xf>
    <xf numFmtId="174" fontId="0" fillId="0" borderId="4" xfId="0" applyNumberFormat="1" applyBorder="1" applyAlignment="1" applyProtection="1">
      <alignment horizontal="center" vertical="center"/>
      <protection/>
    </xf>
    <xf numFmtId="174" fontId="0" fillId="0" borderId="64" xfId="0" applyNumberFormat="1" applyBorder="1" applyAlignment="1" applyProtection="1">
      <alignment horizontal="left" vertical="center"/>
      <protection/>
    </xf>
    <xf numFmtId="0" fontId="0" fillId="0" borderId="61" xfId="0" applyBorder="1" applyAlignment="1" applyProtection="1">
      <alignment horizontal="left" vertical="center"/>
      <protection/>
    </xf>
    <xf numFmtId="0" fontId="0" fillId="0" borderId="28" xfId="0" applyBorder="1" applyAlignment="1" applyProtection="1">
      <alignment vertical="center"/>
      <protection/>
    </xf>
    <xf numFmtId="0" fontId="11" fillId="6" borderId="34" xfId="0" applyFont="1" applyFill="1" applyBorder="1" applyAlignment="1" applyProtection="1">
      <alignment horizontal="center" vertical="center"/>
      <protection/>
    </xf>
    <xf numFmtId="0" fontId="11" fillId="6" borderId="6" xfId="0" applyFont="1" applyFill="1" applyBorder="1" applyAlignment="1" applyProtection="1">
      <alignment horizontal="center" vertical="center"/>
      <protection/>
    </xf>
    <xf numFmtId="0" fontId="8" fillId="0" borderId="2" xfId="0" applyFont="1" applyFill="1" applyBorder="1" applyAlignment="1" applyProtection="1">
      <alignment horizontal="left" vertical="center"/>
      <protection/>
    </xf>
    <xf numFmtId="0" fontId="8" fillId="0" borderId="1" xfId="0" applyFont="1" applyFill="1" applyBorder="1" applyAlignment="1" applyProtection="1">
      <alignment horizontal="left" vertical="center"/>
      <protection/>
    </xf>
    <xf numFmtId="0" fontId="4" fillId="6" borderId="73" xfId="0" applyFont="1" applyFill="1" applyBorder="1" applyAlignment="1" applyProtection="1">
      <alignment horizontal="center" vertical="center"/>
      <protection/>
    </xf>
    <xf numFmtId="0" fontId="4" fillId="6" borderId="74" xfId="0" applyFont="1" applyFill="1" applyBorder="1" applyAlignment="1" applyProtection="1">
      <alignment horizontal="center" vertical="center"/>
      <protection/>
    </xf>
    <xf numFmtId="0" fontId="4" fillId="6" borderId="63" xfId="0" applyFont="1" applyFill="1" applyBorder="1" applyAlignment="1" applyProtection="1">
      <alignment horizontal="center" vertical="center"/>
      <protection/>
    </xf>
    <xf numFmtId="0" fontId="0" fillId="0" borderId="6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38" xfId="0" applyBorder="1" applyAlignment="1" applyProtection="1">
      <alignment vertical="center" wrapText="1"/>
      <protection/>
    </xf>
    <xf numFmtId="0" fontId="11" fillId="6" borderId="39" xfId="0" applyFont="1" applyFill="1" applyBorder="1" applyAlignment="1" applyProtection="1">
      <alignment horizontal="center" vertical="center"/>
      <protection/>
    </xf>
    <xf numFmtId="0" fontId="11" fillId="6" borderId="24" xfId="0" applyFont="1" applyFill="1" applyBorder="1" applyAlignment="1" applyProtection="1">
      <alignment horizontal="center" vertical="center"/>
      <protection/>
    </xf>
    <xf numFmtId="0" fontId="0" fillId="0" borderId="34" xfId="0" applyBorder="1" applyAlignment="1" applyProtection="1">
      <alignment/>
      <protection/>
    </xf>
    <xf numFmtId="0" fontId="0" fillId="0" borderId="6" xfId="0" applyBorder="1" applyAlignment="1" applyProtection="1">
      <alignment/>
      <protection/>
    </xf>
    <xf numFmtId="0" fontId="0" fillId="0" borderId="12" xfId="0" applyBorder="1" applyAlignment="1" applyProtection="1">
      <alignment/>
      <protection/>
    </xf>
    <xf numFmtId="0" fontId="0" fillId="0" borderId="44" xfId="0" applyBorder="1" applyAlignment="1" applyProtection="1">
      <alignment vertical="center"/>
      <protection/>
    </xf>
    <xf numFmtId="174" fontId="0" fillId="0" borderId="3" xfId="0" applyNumberFormat="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75" xfId="0" applyBorder="1" applyAlignment="1" applyProtection="1">
      <alignment vertical="center"/>
      <protection/>
    </xf>
    <xf numFmtId="0" fontId="8" fillId="0" borderId="42" xfId="0" applyFont="1" applyFill="1" applyBorder="1" applyAlignment="1" applyProtection="1">
      <alignment horizontal="left" vertical="center"/>
      <protection/>
    </xf>
    <xf numFmtId="0" fontId="11" fillId="6" borderId="47"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0" fillId="0" borderId="73" xfId="0" applyBorder="1" applyAlignment="1" applyProtection="1">
      <alignment vertical="center"/>
      <protection/>
    </xf>
    <xf numFmtId="0" fontId="0" fillId="0" borderId="74" xfId="0" applyBorder="1" applyAlignment="1" applyProtection="1">
      <alignment vertical="center"/>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0" fillId="0" borderId="2" xfId="0" applyFont="1" applyFill="1" applyBorder="1" applyAlignment="1" applyProtection="1">
      <alignment vertical="center"/>
      <protection/>
    </xf>
    <xf numFmtId="0" fontId="0" fillId="0" borderId="1" xfId="0" applyFont="1" applyFill="1" applyBorder="1" applyAlignment="1" applyProtection="1">
      <alignment vertical="center"/>
      <protection/>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6" fillId="0" borderId="2" xfId="0" applyFont="1" applyFill="1" applyBorder="1" applyAlignment="1">
      <alignment horizontal="center" vertical="center"/>
    </xf>
    <xf numFmtId="0" fontId="16" fillId="0" borderId="1" xfId="0" applyFont="1" applyBorder="1" applyAlignment="1">
      <alignment vertical="center"/>
    </xf>
    <xf numFmtId="0" fontId="19" fillId="0" borderId="2" xfId="0" applyFont="1" applyFill="1" applyBorder="1" applyAlignment="1">
      <alignment horizontal="center" vertical="center"/>
    </xf>
    <xf numFmtId="0" fontId="0" fillId="0" borderId="11" xfId="0" applyBorder="1" applyAlignment="1">
      <alignment vertical="center"/>
    </xf>
    <xf numFmtId="0" fontId="0" fillId="0" borderId="75" xfId="0" applyBorder="1" applyAlignment="1">
      <alignment vertical="center"/>
    </xf>
    <xf numFmtId="0" fontId="0" fillId="0" borderId="42" xfId="0" applyNumberFormat="1" applyFill="1" applyBorder="1" applyAlignment="1">
      <alignment horizontal="right" vertical="center"/>
    </xf>
    <xf numFmtId="0" fontId="6" fillId="0" borderId="2" xfId="0" applyFont="1" applyBorder="1" applyAlignment="1">
      <alignment horizontal="center" vertical="center"/>
    </xf>
    <xf numFmtId="0" fontId="17" fillId="6" borderId="34" xfId="0" applyFont="1" applyFill="1" applyBorder="1" applyAlignment="1">
      <alignment horizontal="center" vertical="center"/>
    </xf>
    <xf numFmtId="0" fontId="17" fillId="6" borderId="6" xfId="0" applyFont="1" applyFill="1" applyBorder="1" applyAlignment="1">
      <alignment horizontal="center" vertical="center"/>
    </xf>
    <xf numFmtId="0" fontId="18" fillId="0" borderId="12"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5" xfId="0" applyFont="1" applyBorder="1" applyAlignment="1">
      <alignment vertical="center"/>
    </xf>
    <xf numFmtId="0" fontId="11" fillId="6" borderId="34" xfId="0" applyFont="1" applyFill="1" applyBorder="1" applyAlignment="1">
      <alignment horizontal="center" vertical="center"/>
    </xf>
    <xf numFmtId="0" fontId="11" fillId="6" borderId="6" xfId="0" applyFont="1" applyFill="1" applyBorder="1" applyAlignment="1">
      <alignment horizontal="center" vertical="center"/>
    </xf>
    <xf numFmtId="0" fontId="0" fillId="0" borderId="12" xfId="0" applyBorder="1" applyAlignment="1">
      <alignment vertical="center"/>
    </xf>
    <xf numFmtId="0" fontId="4" fillId="0" borderId="5" xfId="0" applyFont="1" applyBorder="1" applyAlignment="1">
      <alignment horizontal="center" vertical="center"/>
    </xf>
    <xf numFmtId="0" fontId="0" fillId="0" borderId="2" xfId="0" applyFont="1" applyBorder="1" applyAlignment="1">
      <alignment vertical="center"/>
    </xf>
    <xf numFmtId="0" fontId="0" fillId="0" borderId="5" xfId="0" applyFont="1" applyBorder="1" applyAlignment="1">
      <alignment vertical="center"/>
    </xf>
    <xf numFmtId="0" fontId="0" fillId="7" borderId="71" xfId="0" applyFill="1" applyBorder="1" applyAlignment="1">
      <alignment vertical="center"/>
    </xf>
    <xf numFmtId="0" fontId="0" fillId="7" borderId="66" xfId="0" applyFill="1" applyBorder="1" applyAlignment="1">
      <alignment vertical="center"/>
    </xf>
    <xf numFmtId="0" fontId="0" fillId="7" borderId="43" xfId="0" applyFill="1" applyBorder="1" applyAlignment="1">
      <alignment vertical="center"/>
    </xf>
    <xf numFmtId="0" fontId="0" fillId="7" borderId="48" xfId="0" applyFill="1" applyBorder="1" applyAlignment="1">
      <alignment vertical="center"/>
    </xf>
    <xf numFmtId="0" fontId="0" fillId="7" borderId="49" xfId="0" applyFill="1" applyBorder="1" applyAlignment="1">
      <alignment vertical="center"/>
    </xf>
    <xf numFmtId="0" fontId="0" fillId="7" borderId="50" xfId="0" applyFill="1" applyBorder="1" applyAlignment="1">
      <alignment vertical="center"/>
    </xf>
    <xf numFmtId="0" fontId="0" fillId="0" borderId="35" xfId="0" applyBorder="1" applyAlignment="1">
      <alignment vertical="center"/>
    </xf>
    <xf numFmtId="0" fontId="4" fillId="0" borderId="34"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xf>
    <xf numFmtId="0" fontId="4" fillId="0" borderId="40"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G!$B$1</c:f>
              <c:strCache>
                <c:ptCount val="1"/>
                <c:pt idx="0">
                  <c:v>Apports (kWh)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G!$A$2:$A$13</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G!$C$1</c:f>
              <c:strCache>
                <c:ptCount val="1"/>
                <c:pt idx="0">
                  <c:v>Besoins CH (kWh)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G!$A$2:$A$13</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G!$C$2:$C$13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G!$D$1</c:f>
              <c:strCache>
                <c:ptCount val="1"/>
                <c:pt idx="0">
                  <c:v>Besoins ECS (kWh)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G!$A$2:$A$13</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G!$D$2:$D$13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G!$E$1</c:f>
              <c:strCache>
                <c:ptCount val="1"/>
                <c:pt idx="0">
                  <c:v>Pertes (kWh)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G!$A$2:$A$13</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G!$E$2:$E$13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476627"/>
        <c:axId val="19745324"/>
      </c:barChart>
      <c:catAx>
        <c:axId val="39476627"/>
        <c:scaling>
          <c:orientation val="minMax"/>
        </c:scaling>
        <c:axPos val="b"/>
        <c:delete val="0"/>
        <c:numFmt formatCode="General" sourceLinked="1"/>
        <c:majorTickMark val="out"/>
        <c:minorTickMark val="none"/>
        <c:tickLblPos val="nextTo"/>
        <c:crossAx val="19745324"/>
        <c:crosses val="autoZero"/>
        <c:auto val="1"/>
        <c:lblOffset val="100"/>
        <c:noMultiLvlLbl val="0"/>
      </c:catAx>
      <c:valAx>
        <c:axId val="19745324"/>
        <c:scaling>
          <c:orientation val="minMax"/>
        </c:scaling>
        <c:axPos val="l"/>
        <c:majorGridlines/>
        <c:delete val="0"/>
        <c:numFmt formatCode="0" sourceLinked="0"/>
        <c:majorTickMark val="out"/>
        <c:minorTickMark val="none"/>
        <c:tickLblPos val="nextTo"/>
        <c:crossAx val="39476627"/>
        <c:crossesAt val="1"/>
        <c:crossBetween val="between"/>
        <c:dispUnits/>
      </c:valAx>
      <c:spPr>
        <a:solidFill>
          <a:srgbClr val="FFFF99"/>
        </a:solidFill>
        <a:ln w="38100">
          <a:solidFill>
            <a:srgbClr val="C0C0C0"/>
          </a:solidFill>
        </a:ln>
      </c:spPr>
    </c:plotArea>
    <c:legend>
      <c:legendPos val="r"/>
      <c:layout/>
      <c:overlay val="0"/>
    </c:legend>
    <c:plotVisOnly val="1"/>
    <c:dispBlanksAs val="gap"/>
    <c:showDLblsOverMax val="0"/>
  </c:chart>
  <c:spPr>
    <a:ln w="3175">
      <a:solidFill>
        <a:srgbClr val="C0C0C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10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31</xdr:row>
      <xdr:rowOff>57150</xdr:rowOff>
    </xdr:from>
    <xdr:to>
      <xdr:col>0</xdr:col>
      <xdr:colOff>2876550</xdr:colOff>
      <xdr:row>32</xdr:row>
      <xdr:rowOff>142875</xdr:rowOff>
    </xdr:to>
    <xdr:pic>
      <xdr:nvPicPr>
        <xdr:cNvPr id="1" name="CmdEnregistrerMois"/>
        <xdr:cNvPicPr preferRelativeResize="1">
          <a:picLocks noChangeAspect="1"/>
        </xdr:cNvPicPr>
      </xdr:nvPicPr>
      <xdr:blipFill>
        <a:blip r:embed="rId1"/>
        <a:stretch>
          <a:fillRect/>
        </a:stretch>
      </xdr:blipFill>
      <xdr:spPr>
        <a:xfrm>
          <a:off x="38100" y="476250"/>
          <a:ext cx="2838450" cy="276225"/>
        </a:xfrm>
        <a:prstGeom prst="rect">
          <a:avLst/>
        </a:prstGeom>
        <a:noFill/>
        <a:ln w="9525" cmpd="sng">
          <a:noFill/>
        </a:ln>
      </xdr:spPr>
    </xdr:pic>
    <xdr:clientData/>
  </xdr:twoCellAnchor>
  <xdr:twoCellAnchor editAs="oneCell">
    <xdr:from>
      <xdr:col>3</xdr:col>
      <xdr:colOff>114300</xdr:colOff>
      <xdr:row>31</xdr:row>
      <xdr:rowOff>57150</xdr:rowOff>
    </xdr:from>
    <xdr:to>
      <xdr:col>5</xdr:col>
      <xdr:colOff>1114425</xdr:colOff>
      <xdr:row>32</xdr:row>
      <xdr:rowOff>142875</xdr:rowOff>
    </xdr:to>
    <xdr:pic>
      <xdr:nvPicPr>
        <xdr:cNvPr id="2" name="CmdSupprimerTout"/>
        <xdr:cNvPicPr preferRelativeResize="1">
          <a:picLocks noChangeAspect="1"/>
        </xdr:cNvPicPr>
      </xdr:nvPicPr>
      <xdr:blipFill>
        <a:blip r:embed="rId2"/>
        <a:stretch>
          <a:fillRect/>
        </a:stretch>
      </xdr:blipFill>
      <xdr:spPr>
        <a:xfrm>
          <a:off x="5600700" y="476250"/>
          <a:ext cx="3057525" cy="276225"/>
        </a:xfrm>
        <a:prstGeom prst="rect">
          <a:avLst/>
        </a:prstGeom>
        <a:noFill/>
        <a:ln w="9525" cmpd="sng">
          <a:noFill/>
        </a:ln>
      </xdr:spPr>
    </xdr:pic>
    <xdr:clientData/>
  </xdr:twoCellAnchor>
  <xdr:twoCellAnchor editAs="oneCell">
    <xdr:from>
      <xdr:col>0</xdr:col>
      <xdr:colOff>2943225</xdr:colOff>
      <xdr:row>31</xdr:row>
      <xdr:rowOff>57150</xdr:rowOff>
    </xdr:from>
    <xdr:to>
      <xdr:col>3</xdr:col>
      <xdr:colOff>66675</xdr:colOff>
      <xdr:row>32</xdr:row>
      <xdr:rowOff>142875</xdr:rowOff>
    </xdr:to>
    <xdr:pic>
      <xdr:nvPicPr>
        <xdr:cNvPr id="3" name="CmdSupprimerMois"/>
        <xdr:cNvPicPr preferRelativeResize="1">
          <a:picLocks noChangeAspect="1"/>
        </xdr:cNvPicPr>
      </xdr:nvPicPr>
      <xdr:blipFill>
        <a:blip r:embed="rId3"/>
        <a:stretch>
          <a:fillRect/>
        </a:stretch>
      </xdr:blipFill>
      <xdr:spPr>
        <a:xfrm>
          <a:off x="2943225" y="476250"/>
          <a:ext cx="26098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1:H59"/>
  <sheetViews>
    <sheetView showGridLines="0" tabSelected="1" workbookViewId="0" topLeftCell="A1">
      <selection activeCell="D5" sqref="D5"/>
    </sheetView>
  </sheetViews>
  <sheetFormatPr defaultColWidth="11.421875" defaultRowHeight="12.75"/>
  <cols>
    <col min="1" max="1" width="39.7109375" style="5" customWidth="1"/>
    <col min="2" max="2" width="47.28125" style="5" customWidth="1"/>
    <col min="3" max="3" width="16.8515625" style="5" customWidth="1"/>
    <col min="4" max="4" width="21.7109375" style="5" customWidth="1"/>
    <col min="5" max="5" width="11.421875" style="5" customWidth="1"/>
    <col min="6" max="6" width="4.00390625" style="5" customWidth="1"/>
    <col min="7" max="7" width="11.421875" style="8" customWidth="1"/>
    <col min="8" max="8" width="0" style="5" hidden="1" customWidth="1"/>
    <col min="9" max="16384" width="11.421875" style="5" customWidth="1"/>
  </cols>
  <sheetData>
    <row r="1" spans="1:8" ht="15" customHeight="1">
      <c r="A1" s="283" t="s">
        <v>0</v>
      </c>
      <c r="B1" s="284"/>
      <c r="C1" s="284"/>
      <c r="D1" s="285"/>
      <c r="E1" s="285"/>
      <c r="F1" s="286"/>
      <c r="H1" s="8" t="s">
        <v>439</v>
      </c>
    </row>
    <row r="2" spans="1:8" ht="15" customHeight="1">
      <c r="A2" s="308"/>
      <c r="B2" s="350"/>
      <c r="C2" s="350"/>
      <c r="D2" s="350"/>
      <c r="E2" s="350"/>
      <c r="F2" s="316"/>
      <c r="H2" s="8" t="s">
        <v>440</v>
      </c>
    </row>
    <row r="3" spans="1:8" ht="15" customHeight="1">
      <c r="A3" s="351" t="s">
        <v>502</v>
      </c>
      <c r="B3" s="334"/>
      <c r="C3" s="334"/>
      <c r="D3" s="327"/>
      <c r="E3" s="298" t="s">
        <v>4</v>
      </c>
      <c r="F3" s="299"/>
      <c r="H3" s="8" t="s">
        <v>441</v>
      </c>
    </row>
    <row r="4" spans="1:8" ht="15" customHeight="1">
      <c r="A4" s="349" t="s">
        <v>505</v>
      </c>
      <c r="B4" s="350"/>
      <c r="C4" s="350"/>
      <c r="D4" s="40"/>
      <c r="E4" s="317" t="s">
        <v>4</v>
      </c>
      <c r="F4" s="316"/>
      <c r="H4" s="8" t="s">
        <v>442</v>
      </c>
    </row>
    <row r="5" spans="1:8" ht="15" customHeight="1">
      <c r="A5" s="349" t="s">
        <v>506</v>
      </c>
      <c r="B5" s="350"/>
      <c r="C5" s="350"/>
      <c r="D5" s="42"/>
      <c r="E5" s="300" t="s">
        <v>5</v>
      </c>
      <c r="F5" s="316"/>
      <c r="H5" s="8" t="s">
        <v>443</v>
      </c>
    </row>
    <row r="6" spans="1:8" ht="15" customHeight="1">
      <c r="A6" s="349" t="s">
        <v>514</v>
      </c>
      <c r="B6" s="350"/>
      <c r="C6" s="350"/>
      <c r="D6" s="42"/>
      <c r="E6" s="300" t="s">
        <v>24</v>
      </c>
      <c r="F6" s="316"/>
      <c r="H6" s="8" t="s">
        <v>444</v>
      </c>
    </row>
    <row r="7" spans="1:8" ht="15" customHeight="1">
      <c r="A7" s="349" t="s">
        <v>1</v>
      </c>
      <c r="B7" s="350"/>
      <c r="C7" s="350"/>
      <c r="D7" s="42"/>
      <c r="E7" s="317" t="s">
        <v>4</v>
      </c>
      <c r="F7" s="316"/>
      <c r="H7" s="8" t="s">
        <v>445</v>
      </c>
    </row>
    <row r="8" spans="1:8" ht="15" customHeight="1">
      <c r="A8" s="351" t="s">
        <v>338</v>
      </c>
      <c r="B8" s="334"/>
      <c r="C8" s="322"/>
      <c r="D8" s="155"/>
      <c r="E8" s="287" t="s">
        <v>4</v>
      </c>
      <c r="F8" s="288"/>
      <c r="H8" s="8" t="s">
        <v>446</v>
      </c>
    </row>
    <row r="9" spans="1:8" ht="15" customHeight="1">
      <c r="A9" s="349"/>
      <c r="B9" s="350"/>
      <c r="C9" s="350"/>
      <c r="D9" s="350"/>
      <c r="E9" s="350"/>
      <c r="F9" s="316"/>
      <c r="H9" s="8" t="s">
        <v>447</v>
      </c>
    </row>
    <row r="10" spans="1:8" ht="15" customHeight="1">
      <c r="A10" s="349" t="s">
        <v>6</v>
      </c>
      <c r="B10" s="350"/>
      <c r="C10" s="350"/>
      <c r="D10" s="40"/>
      <c r="E10" s="317" t="s">
        <v>4</v>
      </c>
      <c r="F10" s="316"/>
      <c r="H10" s="8" t="s">
        <v>448</v>
      </c>
    </row>
    <row r="11" spans="1:8" ht="15" customHeight="1">
      <c r="A11" s="290" t="str">
        <f>"Température extérieure moyenne du mois "&amp;IF(OR(D10="avril",D10="août",D10="octobre"),"d'","de ")&amp;D10&amp;" :"</f>
        <v>Température extérieure moyenne du mois de  :</v>
      </c>
      <c r="B11" s="275"/>
      <c r="C11" s="276"/>
      <c r="D11" s="323" t="e">
        <f>INDEX(T!$B$3:$M$3,1,MATCH(D10,T!B2:M2,0))</f>
        <v>#N/A</v>
      </c>
      <c r="E11" s="289" t="s">
        <v>7</v>
      </c>
      <c r="F11" s="288"/>
      <c r="H11" s="8" t="s">
        <v>449</v>
      </c>
    </row>
    <row r="12" spans="1:8" ht="15" customHeight="1" thickBot="1">
      <c r="A12" s="321"/>
      <c r="B12" s="320"/>
      <c r="C12" s="320"/>
      <c r="D12" s="342"/>
      <c r="E12" s="342"/>
      <c r="F12" s="315"/>
      <c r="H12" s="8" t="s">
        <v>450</v>
      </c>
    </row>
    <row r="13" spans="1:8" ht="15" customHeight="1" thickBot="1">
      <c r="A13" s="311" t="s">
        <v>148</v>
      </c>
      <c r="B13" s="312"/>
      <c r="C13" s="312"/>
      <c r="D13" s="312"/>
      <c r="E13" s="313"/>
      <c r="F13" s="314"/>
      <c r="H13" s="8" t="s">
        <v>451</v>
      </c>
    </row>
    <row r="14" spans="1:8" ht="15" customHeight="1">
      <c r="A14" s="318" t="s">
        <v>149</v>
      </c>
      <c r="B14" s="318" t="s">
        <v>155</v>
      </c>
      <c r="C14" s="309" t="s">
        <v>150</v>
      </c>
      <c r="D14" s="164" t="s">
        <v>228</v>
      </c>
      <c r="E14" s="154"/>
      <c r="F14" s="273" t="s">
        <v>7</v>
      </c>
      <c r="H14" s="8" t="s">
        <v>452</v>
      </c>
    </row>
    <row r="15" spans="1:8" ht="15" customHeight="1" thickBot="1">
      <c r="A15" s="319"/>
      <c r="B15" s="319"/>
      <c r="C15" s="310"/>
      <c r="D15" s="52" t="s">
        <v>152</v>
      </c>
      <c r="E15" s="42"/>
      <c r="F15" s="55" t="s">
        <v>8</v>
      </c>
      <c r="H15" s="8" t="s">
        <v>453</v>
      </c>
    </row>
    <row r="16" spans="1:8" ht="15" customHeight="1">
      <c r="A16" s="319"/>
      <c r="B16" s="319"/>
      <c r="C16" s="309" t="s">
        <v>154</v>
      </c>
      <c r="D16" s="164" t="s">
        <v>228</v>
      </c>
      <c r="E16" s="154"/>
      <c r="F16" s="273" t="s">
        <v>7</v>
      </c>
      <c r="H16" s="8" t="s">
        <v>454</v>
      </c>
    </row>
    <row r="17" spans="1:8" ht="15" customHeight="1" thickBot="1">
      <c r="A17" s="319"/>
      <c r="B17" s="319"/>
      <c r="C17" s="310"/>
      <c r="D17" s="52" t="s">
        <v>152</v>
      </c>
      <c r="E17" s="74">
        <f>24-E15</f>
        <v>24</v>
      </c>
      <c r="F17" s="55" t="s">
        <v>8</v>
      </c>
      <c r="H17" s="8" t="s">
        <v>455</v>
      </c>
    </row>
    <row r="18" spans="1:8" ht="15" customHeight="1">
      <c r="A18" s="318" t="s">
        <v>156</v>
      </c>
      <c r="B18" s="305" t="s">
        <v>155</v>
      </c>
      <c r="C18" s="309" t="s">
        <v>150</v>
      </c>
      <c r="D18" s="164" t="s">
        <v>228</v>
      </c>
      <c r="E18" s="154"/>
      <c r="F18" s="273" t="s">
        <v>7</v>
      </c>
      <c r="H18" s="8" t="s">
        <v>456</v>
      </c>
    </row>
    <row r="19" spans="1:8" ht="15" customHeight="1" thickBot="1">
      <c r="A19" s="319"/>
      <c r="B19" s="306"/>
      <c r="C19" s="310"/>
      <c r="D19" s="52" t="s">
        <v>152</v>
      </c>
      <c r="E19" s="42"/>
      <c r="F19" s="55" t="s">
        <v>8</v>
      </c>
      <c r="H19" s="8" t="s">
        <v>457</v>
      </c>
    </row>
    <row r="20" spans="1:8" ht="15" customHeight="1">
      <c r="A20" s="319"/>
      <c r="B20" s="306"/>
      <c r="C20" s="309" t="s">
        <v>154</v>
      </c>
      <c r="D20" s="164" t="s">
        <v>228</v>
      </c>
      <c r="E20" s="154"/>
      <c r="F20" s="273" t="s">
        <v>7</v>
      </c>
      <c r="H20" s="8" t="s">
        <v>458</v>
      </c>
    </row>
    <row r="21" spans="1:8" ht="15" customHeight="1" thickBot="1">
      <c r="A21" s="319"/>
      <c r="B21" s="306"/>
      <c r="C21" s="310"/>
      <c r="D21" s="52" t="s">
        <v>152</v>
      </c>
      <c r="E21" s="74">
        <f>24-E19</f>
        <v>24</v>
      </c>
      <c r="F21" s="55" t="s">
        <v>8</v>
      </c>
      <c r="H21" s="8" t="s">
        <v>459</v>
      </c>
    </row>
    <row r="22" spans="1:8" ht="15" customHeight="1">
      <c r="A22" s="318" t="s">
        <v>157</v>
      </c>
      <c r="B22" s="305" t="s">
        <v>155</v>
      </c>
      <c r="C22" s="309" t="s">
        <v>150</v>
      </c>
      <c r="D22" s="164" t="s">
        <v>228</v>
      </c>
      <c r="E22" s="154"/>
      <c r="F22" s="273" t="s">
        <v>7</v>
      </c>
      <c r="H22" s="8" t="s">
        <v>460</v>
      </c>
    </row>
    <row r="23" spans="1:8" ht="15" customHeight="1" thickBot="1">
      <c r="A23" s="319"/>
      <c r="B23" s="306"/>
      <c r="C23" s="310"/>
      <c r="D23" s="52" t="s">
        <v>152</v>
      </c>
      <c r="E23" s="42"/>
      <c r="F23" s="55" t="s">
        <v>8</v>
      </c>
      <c r="H23" s="8" t="s">
        <v>461</v>
      </c>
    </row>
    <row r="24" spans="1:8" ht="15" customHeight="1">
      <c r="A24" s="319"/>
      <c r="B24" s="306"/>
      <c r="C24" s="309" t="s">
        <v>154</v>
      </c>
      <c r="D24" s="164" t="s">
        <v>228</v>
      </c>
      <c r="E24" s="154"/>
      <c r="F24" s="273" t="s">
        <v>7</v>
      </c>
      <c r="H24" s="8" t="s">
        <v>462</v>
      </c>
    </row>
    <row r="25" spans="1:8" ht="15" customHeight="1" thickBot="1">
      <c r="A25" s="319"/>
      <c r="B25" s="306"/>
      <c r="C25" s="310"/>
      <c r="D25" s="52" t="s">
        <v>152</v>
      </c>
      <c r="E25" s="74">
        <f>24-E23</f>
        <v>24</v>
      </c>
      <c r="F25" s="55" t="s">
        <v>8</v>
      </c>
      <c r="H25" s="8" t="s">
        <v>463</v>
      </c>
    </row>
    <row r="26" spans="1:8" ht="15" customHeight="1">
      <c r="A26" s="318" t="s">
        <v>158</v>
      </c>
      <c r="B26" s="318" t="s">
        <v>155</v>
      </c>
      <c r="C26" s="309" t="s">
        <v>150</v>
      </c>
      <c r="D26" s="164" t="s">
        <v>228</v>
      </c>
      <c r="E26" s="154"/>
      <c r="F26" s="273" t="s">
        <v>7</v>
      </c>
      <c r="H26" s="8" t="s">
        <v>464</v>
      </c>
    </row>
    <row r="27" spans="1:8" ht="15" customHeight="1" thickBot="1">
      <c r="A27" s="319"/>
      <c r="B27" s="319"/>
      <c r="C27" s="310"/>
      <c r="D27" s="52" t="s">
        <v>152</v>
      </c>
      <c r="E27" s="42"/>
      <c r="F27" s="55" t="s">
        <v>8</v>
      </c>
      <c r="H27" s="8" t="s">
        <v>465</v>
      </c>
    </row>
    <row r="28" spans="1:8" ht="15" customHeight="1">
      <c r="A28" s="319"/>
      <c r="B28" s="319"/>
      <c r="C28" s="309" t="s">
        <v>154</v>
      </c>
      <c r="D28" s="164" t="s">
        <v>228</v>
      </c>
      <c r="E28" s="154"/>
      <c r="F28" s="273" t="s">
        <v>7</v>
      </c>
      <c r="H28" s="8" t="s">
        <v>466</v>
      </c>
    </row>
    <row r="29" spans="1:8" ht="15" customHeight="1" thickBot="1">
      <c r="A29" s="319"/>
      <c r="B29" s="319"/>
      <c r="C29" s="310"/>
      <c r="D29" s="52" t="s">
        <v>152</v>
      </c>
      <c r="E29" s="74">
        <f>24-E27</f>
        <v>24</v>
      </c>
      <c r="F29" s="55" t="s">
        <v>8</v>
      </c>
      <c r="H29" s="8" t="s">
        <v>467</v>
      </c>
    </row>
    <row r="30" spans="1:8" ht="15" customHeight="1">
      <c r="A30" s="318" t="s">
        <v>159</v>
      </c>
      <c r="B30" s="318" t="s">
        <v>155</v>
      </c>
      <c r="C30" s="309" t="s">
        <v>150</v>
      </c>
      <c r="D30" s="164" t="s">
        <v>228</v>
      </c>
      <c r="E30" s="154"/>
      <c r="F30" s="273" t="s">
        <v>7</v>
      </c>
      <c r="H30" s="8" t="s">
        <v>468</v>
      </c>
    </row>
    <row r="31" spans="1:8" ht="15" customHeight="1" thickBot="1">
      <c r="A31" s="319"/>
      <c r="B31" s="319"/>
      <c r="C31" s="310"/>
      <c r="D31" s="52" t="s">
        <v>152</v>
      </c>
      <c r="E31" s="42"/>
      <c r="F31" s="55" t="s">
        <v>8</v>
      </c>
      <c r="H31" s="8" t="s">
        <v>469</v>
      </c>
    </row>
    <row r="32" spans="1:8" ht="15" customHeight="1">
      <c r="A32" s="319"/>
      <c r="B32" s="319"/>
      <c r="C32" s="309" t="s">
        <v>154</v>
      </c>
      <c r="D32" s="164" t="s">
        <v>228</v>
      </c>
      <c r="E32" s="154"/>
      <c r="F32" s="273" t="s">
        <v>7</v>
      </c>
      <c r="H32" s="8" t="s">
        <v>470</v>
      </c>
    </row>
    <row r="33" spans="1:8" ht="15" customHeight="1" thickBot="1">
      <c r="A33" s="319"/>
      <c r="B33" s="319"/>
      <c r="C33" s="310"/>
      <c r="D33" s="52" t="s">
        <v>152</v>
      </c>
      <c r="E33" s="74">
        <f>24-E31</f>
        <v>24</v>
      </c>
      <c r="F33" s="55" t="s">
        <v>8</v>
      </c>
      <c r="H33" s="8" t="s">
        <v>471</v>
      </c>
    </row>
    <row r="34" spans="1:8" ht="15" customHeight="1">
      <c r="A34" s="318" t="s">
        <v>160</v>
      </c>
      <c r="B34" s="318" t="s">
        <v>155</v>
      </c>
      <c r="C34" s="309" t="s">
        <v>150</v>
      </c>
      <c r="D34" s="164" t="s">
        <v>228</v>
      </c>
      <c r="E34" s="154"/>
      <c r="F34" s="273" t="s">
        <v>7</v>
      </c>
      <c r="H34" s="8" t="s">
        <v>472</v>
      </c>
    </row>
    <row r="35" spans="1:8" ht="15" customHeight="1" thickBot="1">
      <c r="A35" s="319"/>
      <c r="B35" s="319"/>
      <c r="C35" s="310"/>
      <c r="D35" s="52" t="s">
        <v>152</v>
      </c>
      <c r="E35" s="42"/>
      <c r="F35" s="55" t="s">
        <v>8</v>
      </c>
      <c r="H35" s="8" t="s">
        <v>473</v>
      </c>
    </row>
    <row r="36" spans="1:8" ht="15" customHeight="1">
      <c r="A36" s="319"/>
      <c r="B36" s="319"/>
      <c r="C36" s="309" t="s">
        <v>154</v>
      </c>
      <c r="D36" s="164" t="s">
        <v>228</v>
      </c>
      <c r="E36" s="154"/>
      <c r="F36" s="273" t="s">
        <v>7</v>
      </c>
      <c r="H36" s="8" t="s">
        <v>474</v>
      </c>
    </row>
    <row r="37" spans="1:8" ht="15" customHeight="1" thickBot="1">
      <c r="A37" s="319"/>
      <c r="B37" s="319"/>
      <c r="C37" s="310"/>
      <c r="D37" s="52" t="s">
        <v>152</v>
      </c>
      <c r="E37" s="74">
        <f>24-E35</f>
        <v>24</v>
      </c>
      <c r="F37" s="55" t="s">
        <v>8</v>
      </c>
      <c r="H37" s="8" t="s">
        <v>475</v>
      </c>
    </row>
    <row r="38" spans="1:8" ht="15" customHeight="1">
      <c r="A38" s="318" t="s">
        <v>161</v>
      </c>
      <c r="B38" s="318" t="s">
        <v>155</v>
      </c>
      <c r="C38" s="309" t="s">
        <v>150</v>
      </c>
      <c r="D38" s="164" t="s">
        <v>228</v>
      </c>
      <c r="E38" s="154"/>
      <c r="F38" s="273" t="s">
        <v>7</v>
      </c>
      <c r="H38" s="8" t="s">
        <v>476</v>
      </c>
    </row>
    <row r="39" spans="1:8" ht="15" customHeight="1" thickBot="1">
      <c r="A39" s="319"/>
      <c r="B39" s="319"/>
      <c r="C39" s="310"/>
      <c r="D39" s="52" t="s">
        <v>152</v>
      </c>
      <c r="E39" s="42"/>
      <c r="F39" s="55" t="s">
        <v>8</v>
      </c>
      <c r="H39" s="8" t="s">
        <v>477</v>
      </c>
    </row>
    <row r="40" spans="1:8" ht="15" customHeight="1">
      <c r="A40" s="319"/>
      <c r="B40" s="319"/>
      <c r="C40" s="309" t="s">
        <v>154</v>
      </c>
      <c r="D40" s="164" t="s">
        <v>228</v>
      </c>
      <c r="E40" s="154"/>
      <c r="F40" s="273" t="s">
        <v>7</v>
      </c>
      <c r="H40" s="8" t="s">
        <v>478</v>
      </c>
    </row>
    <row r="41" spans="1:8" ht="15" customHeight="1" thickBot="1">
      <c r="A41" s="277"/>
      <c r="B41" s="277"/>
      <c r="C41" s="304"/>
      <c r="D41" s="63" t="s">
        <v>152</v>
      </c>
      <c r="E41" s="75">
        <f>24-E39</f>
        <v>24</v>
      </c>
      <c r="F41" s="167" t="s">
        <v>8</v>
      </c>
      <c r="H41" s="8" t="s">
        <v>479</v>
      </c>
    </row>
    <row r="42" spans="1:8" ht="15" customHeight="1">
      <c r="A42" s="318"/>
      <c r="B42" s="281"/>
      <c r="C42" s="281"/>
      <c r="D42" s="281"/>
      <c r="E42" s="281"/>
      <c r="F42" s="282"/>
      <c r="H42" s="8" t="s">
        <v>480</v>
      </c>
    </row>
    <row r="43" spans="1:8" ht="15" customHeight="1">
      <c r="A43" s="307" t="s">
        <v>229</v>
      </c>
      <c r="B43" s="291"/>
      <c r="C43" s="291"/>
      <c r="D43" s="291"/>
      <c r="E43" s="324">
        <f>(E14+E18+E22+E26+E30+E34+E38)/7</f>
        <v>0</v>
      </c>
      <c r="F43" s="270" t="s">
        <v>7</v>
      </c>
      <c r="H43" s="8" t="s">
        <v>481</v>
      </c>
    </row>
    <row r="44" spans="1:8" ht="15" customHeight="1">
      <c r="A44" s="295" t="s">
        <v>230</v>
      </c>
      <c r="B44" s="296"/>
      <c r="C44" s="296"/>
      <c r="D44" s="296"/>
      <c r="E44" s="109">
        <f>(E16+E20+E24+E28+E32+E36+E40)/7</f>
        <v>0</v>
      </c>
      <c r="F44" s="55" t="s">
        <v>7</v>
      </c>
      <c r="H44" s="8" t="s">
        <v>482</v>
      </c>
    </row>
    <row r="45" spans="1:8" ht="15" customHeight="1">
      <c r="A45" s="292" t="s">
        <v>231</v>
      </c>
      <c r="B45" s="293"/>
      <c r="C45" s="293"/>
      <c r="D45" s="294"/>
      <c r="E45" s="325">
        <f>(E15+E19+E23+E27+E31+E35+E39)/7</f>
        <v>0</v>
      </c>
      <c r="F45" s="279" t="s">
        <v>8</v>
      </c>
      <c r="H45" s="8" t="s">
        <v>483</v>
      </c>
    </row>
    <row r="46" spans="1:8" ht="15" customHeight="1">
      <c r="A46" s="292" t="s">
        <v>232</v>
      </c>
      <c r="B46" s="293"/>
      <c r="C46" s="293"/>
      <c r="D46" s="294"/>
      <c r="E46" s="325">
        <f>(E17+E21+E25+E29+E33+E37+E41)/7</f>
        <v>24</v>
      </c>
      <c r="F46" s="279" t="s">
        <v>8</v>
      </c>
      <c r="H46" s="8" t="s">
        <v>484</v>
      </c>
    </row>
    <row r="47" spans="1:8" ht="15" customHeight="1" thickBot="1">
      <c r="A47" s="341"/>
      <c r="B47" s="342"/>
      <c r="C47" s="342"/>
      <c r="D47" s="342"/>
      <c r="E47" s="342"/>
      <c r="F47" s="315"/>
      <c r="H47" s="8" t="s">
        <v>485</v>
      </c>
    </row>
    <row r="48" spans="1:8" ht="15" customHeight="1">
      <c r="A48" s="301" t="s">
        <v>165</v>
      </c>
      <c r="B48" s="302"/>
      <c r="C48" s="312"/>
      <c r="D48" s="302"/>
      <c r="E48" s="302"/>
      <c r="F48" s="303"/>
      <c r="H48" s="8" t="s">
        <v>486</v>
      </c>
    </row>
    <row r="49" spans="1:8" ht="15" customHeight="1">
      <c r="A49" s="308" t="str">
        <f>"Période de vacances (cocher la case si des jours de vacances se trouvent dans le mois "&amp;IF(OR($D$10="avril",$D$10="août",$D$10="octobre"),"d'","de ")&amp;$D$10&amp;") :"</f>
        <v>Période de vacances (cocher la case si des jours de vacances se trouvent dans le mois de ) :</v>
      </c>
      <c r="B49" s="297"/>
      <c r="C49" s="328"/>
      <c r="E49" s="343"/>
      <c r="F49" s="344"/>
      <c r="H49" s="8" t="s">
        <v>487</v>
      </c>
    </row>
    <row r="50" spans="1:8" ht="15" customHeight="1">
      <c r="A50" s="308" t="str">
        <f>"Nombre total de jours de vacances pour le mois "&amp;IF(OR($D$10="avril",$D$10="août",$D$10="octobre"),"d'","de ")&amp;$D$10&amp;" :"</f>
        <v>Nombre total de jours de vacances pour le mois de  :</v>
      </c>
      <c r="B50" s="350"/>
      <c r="C50" s="153"/>
      <c r="D50" s="52" t="s">
        <v>164</v>
      </c>
      <c r="E50" s="345"/>
      <c r="F50" s="346"/>
      <c r="H50" s="8" t="s">
        <v>488</v>
      </c>
    </row>
    <row r="51" spans="1:8" ht="15" customHeight="1">
      <c r="A51" s="308" t="str">
        <f>"Nombre de jours de vacances situés en saison de chauffage pour le mois "&amp;IF(OR($D$10="avril",$D$10="août",$D$10="octobre"),"d'","de ")&amp;$D$10&amp;" :"</f>
        <v>Nombre de jours de vacances situés en saison de chauffage pour le mois de  :</v>
      </c>
      <c r="B51" s="350"/>
      <c r="C51" s="42"/>
      <c r="D51" s="52" t="s">
        <v>164</v>
      </c>
      <c r="E51" s="345"/>
      <c r="F51" s="346"/>
      <c r="H51" s="8" t="s">
        <v>489</v>
      </c>
    </row>
    <row r="52" spans="1:8" ht="15" customHeight="1">
      <c r="A52" s="308" t="s">
        <v>270</v>
      </c>
      <c r="B52" s="350"/>
      <c r="C52" s="42"/>
      <c r="D52" s="52" t="s">
        <v>7</v>
      </c>
      <c r="E52" s="345"/>
      <c r="F52" s="346"/>
      <c r="H52" s="8" t="s">
        <v>490</v>
      </c>
    </row>
    <row r="53" spans="1:8" ht="15" customHeight="1">
      <c r="A53" s="308" t="str">
        <f>"Nombre de jours du mois "&amp;IF(OR($D$10="avril",$D$10="août",$D$10="octobre"),"d'","de ")&amp;$D$10&amp;" :"</f>
        <v>Nombre de jours du mois de  :</v>
      </c>
      <c r="B53" s="350"/>
      <c r="C53" s="52">
        <f>SAISONCHAUFFAGE(,5,,$D$10)</f>
        <v>31</v>
      </c>
      <c r="D53" s="74" t="s">
        <v>164</v>
      </c>
      <c r="E53" s="345"/>
      <c r="F53" s="346"/>
      <c r="H53" s="8" t="s">
        <v>491</v>
      </c>
    </row>
    <row r="54" spans="1:8" ht="15" customHeight="1">
      <c r="A54" s="308" t="str">
        <f>"Nombre de jours restants (hors vacances) pour le mois "&amp;IF(OR($D$10="avril",$D$10="août",$D$10="octobre"),"d'","de ")&amp;$D$10&amp;" :"</f>
        <v>Nombre de jours restants (hors vacances) pour le mois de  :</v>
      </c>
      <c r="B54" s="350"/>
      <c r="C54" s="52">
        <f>IF(C49="Oui",C53-C50,C53)</f>
        <v>31</v>
      </c>
      <c r="D54" s="74" t="s">
        <v>164</v>
      </c>
      <c r="E54" s="345"/>
      <c r="F54" s="346"/>
      <c r="H54" s="8" t="s">
        <v>492</v>
      </c>
    </row>
    <row r="55" spans="1:8" ht="15" customHeight="1">
      <c r="A55" s="308" t="str">
        <f>"Nombre de jours de chauffage pour le mois "&amp;IF(OR($D$10="avril",$D$10="août",$D$10="octobre"),"d'","de ")&amp;$D$10&amp;" :"</f>
        <v>Nombre de jours de chauffage pour le mois de  :</v>
      </c>
      <c r="B55" s="350"/>
      <c r="C55" s="52">
        <f>(IF(OR(positionmois('Logement (1)'!$D$10)&gt;positionmois('Durée saison CH (5)'!$D$8),positionmois('Logement (1)'!$D$10)&lt;positionmois('Durée saison CH (5)'!$D$19)),SAISONCHAUFFAGE(,5,,'Logement (1)'!$D$10),IF(positionmois('Logement (1)'!$D$10)=positionmois('Durée saison CH (5)'!$D$8),SAISONCHAUFFAGE(,5,,'Logement (1)'!$D$10)-'Durée saison CH (5)'!$B$37+1,IF(positionmois('Logement (1)'!$D$10)=positionmois('Durée saison CH (5)'!$D$19),'Durée saison CH (5)'!$E$37,0))))</f>
        <v>31</v>
      </c>
      <c r="D55" s="74" t="s">
        <v>164</v>
      </c>
      <c r="E55" s="345"/>
      <c r="F55" s="346"/>
      <c r="H55" s="8" t="s">
        <v>493</v>
      </c>
    </row>
    <row r="56" spans="1:8" ht="15" customHeight="1">
      <c r="A56" s="308" t="str">
        <f>"Nombre de jours de chauffage (hors vacances en période de chauffage) pour le mois "&amp;IF(OR($D$10="avril",$D$10="août",$D$10="octobre"),"d'","de ")&amp;$D$10&amp;" :"</f>
        <v>Nombre de jours de chauffage (hors vacances en période de chauffage) pour le mois de  :</v>
      </c>
      <c r="B56" s="350"/>
      <c r="C56" s="52">
        <f>IF(C55-C51&lt;0,0,C55-C51)</f>
        <v>31</v>
      </c>
      <c r="D56" s="74" t="s">
        <v>164</v>
      </c>
      <c r="E56" s="345"/>
      <c r="F56" s="346"/>
      <c r="H56" s="8" t="s">
        <v>494</v>
      </c>
    </row>
    <row r="57" spans="1:8" ht="15" customHeight="1">
      <c r="A57" s="308" t="str">
        <f>"Nombre de jours de vacances hors période de chauffage pour le mois "&amp;IF(OR($D$10="avril",$D$10="août",$D$10="octobre"),"d'","de ")&amp;$D$10&amp;" :"</f>
        <v>Nombre de jours de vacances hors période de chauffage pour le mois de  :</v>
      </c>
      <c r="B57" s="350"/>
      <c r="C57" s="274">
        <f>IF(C49="Oui",IF(C50-C51&gt;0,C50-C51,0),0)</f>
        <v>0</v>
      </c>
      <c r="D57" s="326" t="s">
        <v>164</v>
      </c>
      <c r="E57" s="345"/>
      <c r="F57" s="346"/>
      <c r="H57" s="8" t="s">
        <v>80</v>
      </c>
    </row>
    <row r="58" spans="1:8" ht="13.5" thickBot="1">
      <c r="A58" s="341" t="str">
        <f>"Nombre de jours restants hors période de chauffage et hors vacances pour le mois "&amp;IF(OR($D$10="avril",$D$10="août",$D$10="octobre"),"d'","de ")&amp;$D$10&amp;" :"</f>
        <v>Nombre de jours restants hors période de chauffage et hors vacances pour le mois de  :</v>
      </c>
      <c r="B58" s="342"/>
      <c r="C58" s="238">
        <f>IF(C55=C53,0,C53-C55-C50)</f>
        <v>0</v>
      </c>
      <c r="D58" s="238" t="s">
        <v>164</v>
      </c>
      <c r="E58" s="347"/>
      <c r="F58" s="348"/>
      <c r="H58" s="8" t="s">
        <v>2</v>
      </c>
    </row>
    <row r="59" ht="12.75">
      <c r="H59" s="8" t="s">
        <v>81</v>
      </c>
    </row>
  </sheetData>
  <sheetProtection sheet="1" objects="1" scenarios="1" selectLockedCells="1"/>
  <mergeCells count="67">
    <mergeCell ref="A46:D46"/>
    <mergeCell ref="A47:F47"/>
    <mergeCell ref="E11:F11"/>
    <mergeCell ref="A11:C11"/>
    <mergeCell ref="A30:A33"/>
    <mergeCell ref="A38:A41"/>
    <mergeCell ref="B38:B41"/>
    <mergeCell ref="E7:F7"/>
    <mergeCell ref="A6:C6"/>
    <mergeCell ref="A10:C10"/>
    <mergeCell ref="E8:F8"/>
    <mergeCell ref="A56:B56"/>
    <mergeCell ref="A54:B54"/>
    <mergeCell ref="A55:B55"/>
    <mergeCell ref="A51:B51"/>
    <mergeCell ref="A53:B53"/>
    <mergeCell ref="A52:B52"/>
    <mergeCell ref="A48:F48"/>
    <mergeCell ref="C40:C41"/>
    <mergeCell ref="A42:F42"/>
    <mergeCell ref="A1:F1"/>
    <mergeCell ref="A2:F2"/>
    <mergeCell ref="E4:F4"/>
    <mergeCell ref="E5:F5"/>
    <mergeCell ref="A4:C4"/>
    <mergeCell ref="A5:C5"/>
    <mergeCell ref="A3:C3"/>
    <mergeCell ref="E3:F3"/>
    <mergeCell ref="C28:C29"/>
    <mergeCell ref="B30:B33"/>
    <mergeCell ref="C30:C31"/>
    <mergeCell ref="C32:C33"/>
    <mergeCell ref="C22:C23"/>
    <mergeCell ref="C24:C25"/>
    <mergeCell ref="B22:B25"/>
    <mergeCell ref="C26:C27"/>
    <mergeCell ref="E6:F6"/>
    <mergeCell ref="A50:B50"/>
    <mergeCell ref="A43:D43"/>
    <mergeCell ref="C36:C37"/>
    <mergeCell ref="A34:A37"/>
    <mergeCell ref="B34:B37"/>
    <mergeCell ref="C34:C35"/>
    <mergeCell ref="A45:D45"/>
    <mergeCell ref="A44:D44"/>
    <mergeCell ref="C38:C39"/>
    <mergeCell ref="A49:B49"/>
    <mergeCell ref="A57:B57"/>
    <mergeCell ref="C14:C15"/>
    <mergeCell ref="C16:C17"/>
    <mergeCell ref="A18:A21"/>
    <mergeCell ref="B18:B21"/>
    <mergeCell ref="C18:C19"/>
    <mergeCell ref="C20:C21"/>
    <mergeCell ref="A22:A25"/>
    <mergeCell ref="A26:A29"/>
    <mergeCell ref="B26:B29"/>
    <mergeCell ref="A58:B58"/>
    <mergeCell ref="E49:F58"/>
    <mergeCell ref="A7:C7"/>
    <mergeCell ref="A8:C8"/>
    <mergeCell ref="A12:F12"/>
    <mergeCell ref="A9:F9"/>
    <mergeCell ref="E10:F10"/>
    <mergeCell ref="A14:A17"/>
    <mergeCell ref="B14:B17"/>
    <mergeCell ref="A13:F13"/>
  </mergeCells>
  <conditionalFormatting sqref="C55">
    <cfRule type="cellIs" priority="1" dxfId="0" operator="equal" stopIfTrue="1">
      <formula>0</formula>
    </cfRule>
  </conditionalFormatting>
  <dataValidations count="5">
    <dataValidation type="list" allowBlank="1" showInputMessage="1" showErrorMessage="1" errorTitle="Zone d'hiver." error="Le choix est à faire seulement dans la liste !" sqref="D4">
      <formula1>"Zone H1,Zone H2,Zone H3"</formula1>
    </dataValidation>
    <dataValidation type="list" allowBlank="1" showInputMessage="1" showErrorMessage="1" sqref="D10">
      <formula1>"janvier,février,mars,avril,mai,juin,juillet,août,septembre,octobre,novembre,décembre"</formula1>
    </dataValidation>
    <dataValidation type="list" allowBlank="1" showInputMessage="1" showErrorMessage="1" sqref="D3">
      <formula1>$H$1:$H$59</formula1>
    </dataValidation>
    <dataValidation type="list" allowBlank="1" showInputMessage="1" showErrorMessage="1" sqref="C49">
      <formula1>"Oui,Non"</formula1>
    </dataValidation>
    <dataValidation showInputMessage="1" showErrorMessage="1" sqref="I6"/>
  </dataValidations>
  <printOptions/>
  <pageMargins left="0.75" right="0.75" top="1" bottom="1"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sheetPr codeName="Feuil11"/>
  <dimension ref="A1:J375"/>
  <sheetViews>
    <sheetView showGridLines="0" workbookViewId="0" topLeftCell="A1">
      <selection activeCell="C9" sqref="C9"/>
    </sheetView>
  </sheetViews>
  <sheetFormatPr defaultColWidth="11.421875" defaultRowHeight="12.75"/>
  <cols>
    <col min="1" max="1" width="32.7109375" style="5" customWidth="1"/>
    <col min="2" max="2" width="30.8515625" style="5" customWidth="1"/>
    <col min="3" max="3" width="22.7109375" style="5" customWidth="1"/>
    <col min="4" max="4" width="45.00390625" style="5" customWidth="1"/>
    <col min="5" max="5" width="15.7109375" style="5" customWidth="1"/>
    <col min="6" max="6" width="12.421875" style="5" customWidth="1"/>
    <col min="7" max="7" width="15.140625" style="5" customWidth="1"/>
    <col min="8" max="9" width="11.421875" style="32" customWidth="1"/>
    <col min="10" max="16384" width="11.421875" style="5" customWidth="1"/>
  </cols>
  <sheetData>
    <row r="1" spans="1:7" ht="15" customHeight="1">
      <c r="A1" s="576" t="s">
        <v>226</v>
      </c>
      <c r="B1" s="577"/>
      <c r="C1" s="577"/>
      <c r="D1" s="577"/>
      <c r="E1" s="577"/>
      <c r="F1" s="285"/>
      <c r="G1" s="286"/>
    </row>
    <row r="2" spans="1:7" ht="15" customHeight="1">
      <c r="A2" s="578"/>
      <c r="B2" s="350"/>
      <c r="C2" s="350"/>
      <c r="D2" s="350"/>
      <c r="E2" s="350"/>
      <c r="F2" s="350"/>
      <c r="G2" s="316"/>
    </row>
    <row r="3" spans="1:9" s="8" customFormat="1" ht="15" customHeight="1">
      <c r="A3" s="308" t="s">
        <v>504</v>
      </c>
      <c r="B3" s="350"/>
      <c r="C3" s="96">
        <f>'Logement (1)'!D3</f>
        <v>0</v>
      </c>
      <c r="D3" s="54" t="s">
        <v>4</v>
      </c>
      <c r="E3" s="579"/>
      <c r="F3" s="350"/>
      <c r="G3" s="316"/>
      <c r="H3" s="21"/>
      <c r="I3" s="21"/>
    </row>
    <row r="4" spans="1:9" s="8" customFormat="1" ht="15" customHeight="1">
      <c r="A4" s="308" t="s">
        <v>6</v>
      </c>
      <c r="B4" s="350"/>
      <c r="C4" s="96">
        <f>'Logement (1)'!D10</f>
        <v>0</v>
      </c>
      <c r="D4" s="54" t="s">
        <v>4</v>
      </c>
      <c r="E4" s="350"/>
      <c r="F4" s="350"/>
      <c r="G4" s="316"/>
      <c r="H4" s="21"/>
      <c r="I4" s="21"/>
    </row>
    <row r="5" spans="1:9" s="8" customFormat="1" ht="15" customHeight="1">
      <c r="A5" s="308" t="s">
        <v>3</v>
      </c>
      <c r="B5" s="350"/>
      <c r="C5" s="52">
        <f>'Logement (1)'!D5</f>
        <v>0</v>
      </c>
      <c r="D5" s="52" t="s">
        <v>5</v>
      </c>
      <c r="E5" s="350"/>
      <c r="F5" s="350"/>
      <c r="G5" s="316"/>
      <c r="H5" s="21"/>
      <c r="I5" s="21"/>
    </row>
    <row r="6" spans="1:7" ht="15" customHeight="1">
      <c r="A6" s="308" t="str">
        <f>"Température moyenne extérieure du mois "&amp;IF(OR(C4="avril",C4="août",C4="octobre"),"d'","de ")&amp;IF(C4&lt;&gt;0,C4,"")&amp;" :"</f>
        <v>Température moyenne extérieure du mois de  :</v>
      </c>
      <c r="B6" s="350"/>
      <c r="C6" s="52" t="e">
        <f>'Logement (1)'!D11</f>
        <v>#N/A</v>
      </c>
      <c r="D6" s="52" t="s">
        <v>7</v>
      </c>
      <c r="E6" s="350"/>
      <c r="F6" s="350"/>
      <c r="G6" s="316"/>
    </row>
    <row r="7" spans="1:7" ht="15" customHeight="1">
      <c r="A7" s="308" t="s">
        <v>131</v>
      </c>
      <c r="B7" s="350"/>
      <c r="C7" s="74">
        <f>'Logement (1)'!D8</f>
        <v>0</v>
      </c>
      <c r="D7" s="54" t="s">
        <v>4</v>
      </c>
      <c r="E7" s="350"/>
      <c r="F7" s="350"/>
      <c r="G7" s="316"/>
    </row>
    <row r="8" spans="1:9" ht="15" customHeight="1">
      <c r="A8" s="433"/>
      <c r="B8" s="275"/>
      <c r="C8" s="275"/>
      <c r="D8" s="275"/>
      <c r="E8" s="275"/>
      <c r="F8" s="275"/>
      <c r="G8" s="288"/>
      <c r="H8" s="211"/>
      <c r="I8" s="211"/>
    </row>
    <row r="9" spans="1:9" ht="15" customHeight="1">
      <c r="A9" s="433" t="s">
        <v>202</v>
      </c>
      <c r="B9" s="276"/>
      <c r="C9" s="42"/>
      <c r="D9" s="52" t="s">
        <v>12</v>
      </c>
      <c r="E9" s="297"/>
      <c r="F9" s="275"/>
      <c r="G9" s="288"/>
      <c r="H9" s="211"/>
      <c r="I9" s="211"/>
    </row>
    <row r="10" spans="1:9" ht="15" customHeight="1">
      <c r="A10" s="308"/>
      <c r="B10" s="350"/>
      <c r="C10" s="132" t="s">
        <v>190</v>
      </c>
      <c r="D10" s="132" t="s">
        <v>191</v>
      </c>
      <c r="E10" s="132" t="s">
        <v>192</v>
      </c>
      <c r="F10" s="132" t="s">
        <v>193</v>
      </c>
      <c r="G10" s="316"/>
      <c r="H10" s="211"/>
      <c r="I10" s="211"/>
    </row>
    <row r="11" spans="1:9" ht="15" customHeight="1">
      <c r="A11" s="50" t="s">
        <v>189</v>
      </c>
      <c r="B11" s="53"/>
      <c r="C11" s="52">
        <f>IF($B$11="Standard",84,IF($B$11="Basse température",87.5,IF($B$11="Condensation",91,"")))</f>
      </c>
      <c r="D11" s="52">
        <f>IF($B$11="Standard",2,IF($B$11="Basse température",1.5,IF($B$11="Condensation",1,"")))</f>
      </c>
      <c r="E11" s="52">
        <f>IF($B$11="Standard",83,IF($B$11="Basse température",87.5,IF($B$11="Condensation",97,"")))</f>
      </c>
      <c r="F11" s="52">
        <f>IF($B$11="Standard",2,IF($B$11="Basse température",1.5,IF($B$11="Condensation",1,"")))</f>
      </c>
      <c r="G11" s="316"/>
      <c r="H11" s="211"/>
      <c r="I11" s="211"/>
    </row>
    <row r="12" spans="1:9" ht="15" customHeight="1">
      <c r="A12" s="308"/>
      <c r="B12" s="350"/>
      <c r="C12" s="132" t="s">
        <v>195</v>
      </c>
      <c r="D12" s="132" t="s">
        <v>196</v>
      </c>
      <c r="E12" s="343"/>
      <c r="F12" s="461"/>
      <c r="G12" s="344"/>
      <c r="H12" s="211"/>
      <c r="I12" s="211"/>
    </row>
    <row r="13" spans="1:9" ht="15" customHeight="1">
      <c r="A13" s="50" t="s">
        <v>194</v>
      </c>
      <c r="B13" s="53"/>
      <c r="C13" s="52">
        <f>IF($B$13="Atmosphérique",2.5,IF($B$13="A air pulsé (soufflé)",1.75,""))</f>
      </c>
      <c r="D13" s="52">
        <f>IF($B$13="Atmosphérique",-0.8,IF($B$13="A air pulsé (soufflé)",-0.55,""))</f>
      </c>
      <c r="E13" s="345"/>
      <c r="F13" s="462"/>
      <c r="G13" s="346"/>
      <c r="H13" s="211"/>
      <c r="I13" s="211"/>
    </row>
    <row r="14" spans="1:9" ht="15" customHeight="1">
      <c r="A14" s="308"/>
      <c r="B14" s="350"/>
      <c r="C14" s="132" t="s">
        <v>198</v>
      </c>
      <c r="D14" s="132" t="s">
        <v>199</v>
      </c>
      <c r="E14" s="345"/>
      <c r="F14" s="462"/>
      <c r="G14" s="346"/>
      <c r="H14" s="211"/>
      <c r="I14" s="211"/>
    </row>
    <row r="15" spans="1:9" ht="15" customHeight="1">
      <c r="A15" s="308" t="s">
        <v>197</v>
      </c>
      <c r="B15" s="350"/>
      <c r="C15" s="52">
        <f>IF($B$11="Standard",50,IF($B$11="Basse température",40,IF($B$11="Condensation",35,"")))</f>
      </c>
      <c r="D15" s="52">
        <f>IF($B$11="Standard",0.1,IF($B$11="Basse température",0.1,IF($B$11="Condensation",0.2,"")))</f>
      </c>
      <c r="E15" s="345"/>
      <c r="F15" s="462"/>
      <c r="G15" s="346"/>
      <c r="H15" s="211"/>
      <c r="I15" s="211"/>
    </row>
    <row r="16" spans="1:9" ht="15" customHeight="1">
      <c r="A16" s="50" t="s">
        <v>201</v>
      </c>
      <c r="B16" s="53"/>
      <c r="C16" s="52"/>
      <c r="D16" s="52"/>
      <c r="E16" s="345"/>
      <c r="F16" s="462"/>
      <c r="G16" s="346"/>
      <c r="H16" s="211"/>
      <c r="I16" s="211"/>
    </row>
    <row r="17" spans="1:9" ht="15" customHeight="1">
      <c r="A17" s="50" t="s">
        <v>317</v>
      </c>
      <c r="B17" s="53"/>
      <c r="C17" s="52" t="s">
        <v>211</v>
      </c>
      <c r="D17" s="53"/>
      <c r="E17" s="442"/>
      <c r="F17" s="423"/>
      <c r="G17" s="424"/>
      <c r="H17" s="211"/>
      <c r="I17" s="211"/>
    </row>
    <row r="18" spans="1:9" ht="15" customHeight="1" thickBot="1">
      <c r="A18" s="308"/>
      <c r="B18" s="350"/>
      <c r="C18" s="350"/>
      <c r="D18" s="350"/>
      <c r="E18" s="350"/>
      <c r="F18" s="350"/>
      <c r="G18" s="316"/>
      <c r="H18" s="211"/>
      <c r="I18" s="211"/>
    </row>
    <row r="19" spans="1:9" ht="15" customHeight="1" thickBot="1">
      <c r="A19" s="451" t="s">
        <v>148</v>
      </c>
      <c r="B19" s="452"/>
      <c r="C19" s="452"/>
      <c r="D19" s="452"/>
      <c r="E19" s="437"/>
      <c r="F19" s="437"/>
      <c r="G19" s="438"/>
      <c r="H19" s="211"/>
      <c r="I19" s="211"/>
    </row>
    <row r="20" spans="1:9" ht="15" customHeight="1">
      <c r="A20" s="561" t="s">
        <v>149</v>
      </c>
      <c r="B20" s="465" t="s">
        <v>155</v>
      </c>
      <c r="C20" s="457" t="s">
        <v>150</v>
      </c>
      <c r="D20" s="131" t="s">
        <v>151</v>
      </c>
      <c r="E20" s="136">
        <f>'Logement (1)'!E14</f>
        <v>0</v>
      </c>
      <c r="F20" s="131" t="s">
        <v>7</v>
      </c>
      <c r="G20" s="471"/>
      <c r="H20" s="211"/>
      <c r="I20" s="211"/>
    </row>
    <row r="21" spans="1:9" ht="15" customHeight="1">
      <c r="A21" s="561"/>
      <c r="B21" s="465"/>
      <c r="C21" s="457"/>
      <c r="D21" s="52" t="s">
        <v>152</v>
      </c>
      <c r="E21" s="136">
        <f>'Logement (1)'!E15</f>
        <v>0</v>
      </c>
      <c r="F21" s="52" t="s">
        <v>8</v>
      </c>
      <c r="G21" s="471"/>
      <c r="H21" s="211"/>
      <c r="I21" s="211"/>
    </row>
    <row r="22" spans="1:9" ht="15" customHeight="1">
      <c r="A22" s="561"/>
      <c r="B22" s="465"/>
      <c r="C22" s="457"/>
      <c r="D22" s="52" t="s">
        <v>200</v>
      </c>
      <c r="E22" s="109" t="e">
        <f>(1+IF($B$16="Radiateurs",0.7,1.3))/IF($B$16="Radiateurs",0.7,1.3)*E20-$C$6/IF($B$16="Radiateurs",0.7,1.3)</f>
        <v>#N/A</v>
      </c>
      <c r="F22" s="52" t="s">
        <v>7</v>
      </c>
      <c r="G22" s="472"/>
      <c r="H22" s="211"/>
      <c r="I22" s="211"/>
    </row>
    <row r="23" spans="1:9" ht="15" customHeight="1">
      <c r="A23" s="561"/>
      <c r="B23" s="465"/>
      <c r="C23" s="457"/>
      <c r="D23" s="52" t="s">
        <v>204</v>
      </c>
      <c r="E23" s="52" t="e">
        <f>IF(E20&gt;$C$6,$C$5*(E20-$C$6),0)</f>
        <v>#N/A</v>
      </c>
      <c r="F23" s="52" t="s">
        <v>114</v>
      </c>
      <c r="G23" s="173" t="e">
        <f>"("&amp;ROUND(E23/1000,3)&amp;" kWh)"</f>
        <v>#N/A</v>
      </c>
      <c r="H23" s="211"/>
      <c r="I23" s="211"/>
    </row>
    <row r="24" spans="1:9" ht="15" customHeight="1">
      <c r="A24" s="561"/>
      <c r="B24" s="465"/>
      <c r="C24" s="457"/>
      <c r="D24" s="52" t="s">
        <v>310</v>
      </c>
      <c r="E24" s="52" t="e">
        <f>E23*E21</f>
        <v>#N/A</v>
      </c>
      <c r="F24" s="52" t="s">
        <v>114</v>
      </c>
      <c r="G24" s="173" t="e">
        <f>"("&amp;ROUND(E24/1000,3)&amp;" kWh)"</f>
        <v>#N/A</v>
      </c>
      <c r="H24" s="211"/>
      <c r="I24" s="211"/>
    </row>
    <row r="25" spans="1:10" ht="15" customHeight="1">
      <c r="A25" s="561"/>
      <c r="B25" s="465"/>
      <c r="C25" s="457"/>
      <c r="D25" s="52" t="s">
        <v>311</v>
      </c>
      <c r="E25" s="56" t="e">
        <f>'Besoins en chauffage (8)'!E14/E21</f>
        <v>#N/A</v>
      </c>
      <c r="F25" s="52" t="s">
        <v>114</v>
      </c>
      <c r="G25" s="173" t="e">
        <f>"("&amp;ROUND(E25/1000,3)&amp;" kWh)"</f>
        <v>#N/A</v>
      </c>
      <c r="H25" s="17"/>
      <c r="I25" s="17"/>
      <c r="J25" s="8"/>
    </row>
    <row r="26" spans="1:10" ht="15" customHeight="1">
      <c r="A26" s="561"/>
      <c r="B26" s="465"/>
      <c r="C26" s="457"/>
      <c r="D26" s="52" t="s">
        <v>169</v>
      </c>
      <c r="E26" s="56">
        <f>'Besoins en chauffage (8)'!E15</f>
        <v>0</v>
      </c>
      <c r="F26" s="54" t="s">
        <v>4</v>
      </c>
      <c r="G26" s="173"/>
      <c r="H26" s="17"/>
      <c r="I26" s="17"/>
      <c r="J26" s="23"/>
    </row>
    <row r="27" spans="1:10" ht="15" customHeight="1">
      <c r="A27" s="561"/>
      <c r="B27" s="465"/>
      <c r="C27" s="457"/>
      <c r="D27" s="52" t="s">
        <v>373</v>
      </c>
      <c r="E27" s="56" t="e">
        <f>'Apports récupérables CH (6)'!E46</f>
        <v>#N/A</v>
      </c>
      <c r="F27" s="52" t="s">
        <v>114</v>
      </c>
      <c r="G27" s="173" t="e">
        <f>"("&amp;ROUND(E27/1000,3)&amp;" kWh)"</f>
        <v>#N/A</v>
      </c>
      <c r="H27" s="17"/>
      <c r="I27" s="17"/>
      <c r="J27" s="23"/>
    </row>
    <row r="28" spans="1:10" ht="15" customHeight="1">
      <c r="A28" s="561"/>
      <c r="B28" s="465"/>
      <c r="C28" s="457"/>
      <c r="D28" s="52" t="s">
        <v>312</v>
      </c>
      <c r="E28" s="56" t="e">
        <f>E23+E27-E25*E26</f>
        <v>#N/A</v>
      </c>
      <c r="F28" s="52" t="s">
        <v>114</v>
      </c>
      <c r="G28" s="173" t="e">
        <f>"("&amp;ROUND(E28/1000,3)&amp;" kWh)"</f>
        <v>#N/A</v>
      </c>
      <c r="H28" s="17"/>
      <c r="I28" s="17"/>
      <c r="J28" s="23"/>
    </row>
    <row r="29" spans="1:10" ht="15" customHeight="1">
      <c r="A29" s="561"/>
      <c r="B29" s="465"/>
      <c r="C29" s="457"/>
      <c r="D29" s="133" t="s">
        <v>205</v>
      </c>
      <c r="E29" s="56" t="e">
        <f>E28/$C$9</f>
        <v>#N/A</v>
      </c>
      <c r="F29" s="52" t="s">
        <v>203</v>
      </c>
      <c r="G29" s="173" t="e">
        <f>"("&amp;ROUND(E29*100,3)&amp;" %)"</f>
        <v>#N/A</v>
      </c>
      <c r="H29" s="17"/>
      <c r="I29" s="17"/>
      <c r="J29" s="23"/>
    </row>
    <row r="30" spans="1:10" ht="15" customHeight="1">
      <c r="A30" s="561"/>
      <c r="B30" s="465"/>
      <c r="C30" s="457"/>
      <c r="D30" s="133" t="s">
        <v>207</v>
      </c>
      <c r="E30" s="56" t="e">
        <f>IF(E29&lt;1,($E$11+$F$11*LOG($C$9/1000))+$D$15*($C$15-E22),IF(E29=1,($C$11+$D$11*LOG($C$9/1000))+0.1*(70-E22),0))</f>
        <v>#N/A</v>
      </c>
      <c r="F30" s="52" t="s">
        <v>203</v>
      </c>
      <c r="G30" s="173"/>
      <c r="H30" s="17"/>
      <c r="I30" s="17"/>
      <c r="J30" s="23"/>
    </row>
    <row r="31" spans="1:10" ht="15" customHeight="1">
      <c r="A31" s="561"/>
      <c r="B31" s="465"/>
      <c r="C31" s="457"/>
      <c r="D31" s="133" t="s">
        <v>374</v>
      </c>
      <c r="E31" s="56" t="e">
        <f>IF(E29&lt;1,(100-E30)/E30*E28,(100-E30)/E30*$C$9)</f>
        <v>#N/A</v>
      </c>
      <c r="F31" s="52" t="s">
        <v>114</v>
      </c>
      <c r="G31" s="173" t="e">
        <f>"("&amp;ROUND(E31/1000,3)&amp;" kWh)"</f>
        <v>#N/A</v>
      </c>
      <c r="H31" s="17"/>
      <c r="I31" s="17"/>
      <c r="J31" s="23"/>
    </row>
    <row r="32" spans="1:10" ht="15" customHeight="1">
      <c r="A32" s="561"/>
      <c r="B32" s="465"/>
      <c r="C32" s="457"/>
      <c r="D32" s="133" t="s">
        <v>208</v>
      </c>
      <c r="E32" s="109" t="e">
        <f>IF($B$17="Oui",E20,E20-$C$7*(E20-$C$6))</f>
        <v>#N/A</v>
      </c>
      <c r="F32" s="52" t="s">
        <v>7</v>
      </c>
      <c r="G32" s="212"/>
      <c r="H32" s="17"/>
      <c r="I32" s="17"/>
      <c r="J32" s="8"/>
    </row>
    <row r="33" spans="1:10" ht="15" customHeight="1">
      <c r="A33" s="561"/>
      <c r="B33" s="465"/>
      <c r="C33" s="457"/>
      <c r="D33" s="133" t="s">
        <v>206</v>
      </c>
      <c r="E33" s="56" t="e">
        <f>IF(E22&lt;E32,0,((($C$9/1000)*($C$13+$D$13*LOG($C$9/1000))/100)*(((E22-E32)/30)^1.25)*1000+IF($D$17="Oui",35,0))*(1-E29))</f>
        <v>#N/A</v>
      </c>
      <c r="F33" s="52" t="s">
        <v>114</v>
      </c>
      <c r="G33" s="173" t="e">
        <f>"("&amp;ROUND(E33/1000,3)&amp;" kWh)"</f>
        <v>#N/A</v>
      </c>
      <c r="H33" s="17"/>
      <c r="I33" s="17"/>
      <c r="J33" s="8"/>
    </row>
    <row r="34" spans="1:10" ht="15" customHeight="1">
      <c r="A34" s="561"/>
      <c r="B34" s="465"/>
      <c r="C34" s="457"/>
      <c r="D34" s="133" t="s">
        <v>210</v>
      </c>
      <c r="E34" s="58" t="e">
        <f>(E31+E33)*E21</f>
        <v>#N/A</v>
      </c>
      <c r="F34" s="57" t="s">
        <v>114</v>
      </c>
      <c r="G34" s="59" t="e">
        <f>"("&amp;ROUND(E34/1000,3)&amp;" kWh)"</f>
        <v>#N/A</v>
      </c>
      <c r="H34" s="21"/>
      <c r="I34" s="21"/>
      <c r="J34" s="8"/>
    </row>
    <row r="35" spans="1:10" ht="15" customHeight="1" thickBot="1">
      <c r="A35" s="561"/>
      <c r="B35" s="465"/>
      <c r="C35" s="567"/>
      <c r="D35" s="213" t="s">
        <v>313</v>
      </c>
      <c r="E35" s="214" t="e">
        <f>IF(AND(E21&lt;&gt;0,E21&lt;&gt;"",E28&lt;&gt;0),(E28*E21)/((E28*E21)+E34),0)</f>
        <v>#N/A</v>
      </c>
      <c r="F35" s="215" t="s">
        <v>203</v>
      </c>
      <c r="G35" s="175" t="e">
        <f>"("&amp;ROUND(E35*100,3)&amp;" %)"</f>
        <v>#N/A</v>
      </c>
      <c r="H35" s="21"/>
      <c r="I35" s="21"/>
      <c r="J35" s="8"/>
    </row>
    <row r="36" spans="1:10" ht="15" customHeight="1">
      <c r="A36" s="561"/>
      <c r="B36" s="465"/>
      <c r="C36" s="309" t="s">
        <v>154</v>
      </c>
      <c r="D36" s="131" t="s">
        <v>151</v>
      </c>
      <c r="E36" s="172">
        <f>'Logement (1)'!E16</f>
        <v>0</v>
      </c>
      <c r="F36" s="164" t="s">
        <v>7</v>
      </c>
      <c r="G36" s="379"/>
      <c r="H36" s="21"/>
      <c r="I36" s="21"/>
      <c r="J36" s="8"/>
    </row>
    <row r="37" spans="1:10" ht="15" customHeight="1">
      <c r="A37" s="561"/>
      <c r="B37" s="465"/>
      <c r="C37" s="310"/>
      <c r="D37" s="52" t="s">
        <v>152</v>
      </c>
      <c r="E37" s="74">
        <f>24-E21</f>
        <v>24</v>
      </c>
      <c r="F37" s="52" t="s">
        <v>8</v>
      </c>
      <c r="G37" s="380"/>
      <c r="H37" s="21"/>
      <c r="I37" s="21"/>
      <c r="J37" s="8"/>
    </row>
    <row r="38" spans="1:10" ht="15" customHeight="1">
      <c r="A38" s="561"/>
      <c r="B38" s="465"/>
      <c r="C38" s="310"/>
      <c r="D38" s="52" t="s">
        <v>200</v>
      </c>
      <c r="E38" s="109" t="e">
        <f>(1+IF($B$16="Radiateurs",0.9,1.5))/IF($B$16="Radiateurs",0.9,1.5)*E36-$C$6/IF($B$16="Radiateurs",0.9,1.5)</f>
        <v>#N/A</v>
      </c>
      <c r="F38" s="52" t="s">
        <v>7</v>
      </c>
      <c r="G38" s="380"/>
      <c r="H38" s="21"/>
      <c r="I38" s="21"/>
      <c r="J38" s="8"/>
    </row>
    <row r="39" spans="1:10" ht="15" customHeight="1">
      <c r="A39" s="561"/>
      <c r="B39" s="465"/>
      <c r="C39" s="310"/>
      <c r="D39" s="52" t="s">
        <v>204</v>
      </c>
      <c r="E39" s="52" t="e">
        <f>IF(E36&gt;$C$6,$C$5*(E36-$C$6),0)</f>
        <v>#N/A</v>
      </c>
      <c r="F39" s="52" t="s">
        <v>114</v>
      </c>
      <c r="G39" s="173" t="e">
        <f>"("&amp;ROUND(E39/1000,3)&amp;" kWh)"</f>
        <v>#N/A</v>
      </c>
      <c r="H39" s="21"/>
      <c r="I39" s="21"/>
      <c r="J39" s="8"/>
    </row>
    <row r="40" spans="1:10" ht="15" customHeight="1">
      <c r="A40" s="561"/>
      <c r="B40" s="465"/>
      <c r="C40" s="310"/>
      <c r="D40" s="52" t="s">
        <v>310</v>
      </c>
      <c r="E40" s="52" t="e">
        <f>E39*E37</f>
        <v>#N/A</v>
      </c>
      <c r="F40" s="52" t="s">
        <v>114</v>
      </c>
      <c r="G40" s="173" t="e">
        <f>"("&amp;ROUND(E40/1000,3)&amp;" kWh)"</f>
        <v>#N/A</v>
      </c>
      <c r="H40" s="21"/>
      <c r="I40" s="21"/>
      <c r="J40" s="8"/>
    </row>
    <row r="41" spans="1:10" ht="15" customHeight="1">
      <c r="A41" s="561"/>
      <c r="B41" s="465"/>
      <c r="C41" s="310"/>
      <c r="D41" s="52" t="s">
        <v>311</v>
      </c>
      <c r="E41" s="56" t="e">
        <f>'Besoins en chauffage (8)'!E20/E37</f>
        <v>#N/A</v>
      </c>
      <c r="F41" s="52" t="s">
        <v>114</v>
      </c>
      <c r="G41" s="173" t="e">
        <f>"("&amp;ROUND(E41/1000,3)&amp;" kWh)"</f>
        <v>#N/A</v>
      </c>
      <c r="H41" s="21"/>
      <c r="I41" s="21"/>
      <c r="J41" s="8"/>
    </row>
    <row r="42" spans="1:10" ht="15" customHeight="1">
      <c r="A42" s="561"/>
      <c r="B42" s="465"/>
      <c r="C42" s="310"/>
      <c r="D42" s="52" t="s">
        <v>169</v>
      </c>
      <c r="E42" s="56">
        <f>'Besoins en chauffage (8)'!E21</f>
        <v>0</v>
      </c>
      <c r="F42" s="54" t="s">
        <v>4</v>
      </c>
      <c r="G42" s="173"/>
      <c r="H42" s="21"/>
      <c r="I42" s="21"/>
      <c r="J42" s="23"/>
    </row>
    <row r="43" spans="1:10" ht="15" customHeight="1">
      <c r="A43" s="561"/>
      <c r="B43" s="465"/>
      <c r="C43" s="310"/>
      <c r="D43" s="52" t="s">
        <v>373</v>
      </c>
      <c r="E43" s="56" t="e">
        <f>'Apports récupérables CH (6)'!E56</f>
        <v>#N/A</v>
      </c>
      <c r="F43" s="52" t="s">
        <v>114</v>
      </c>
      <c r="G43" s="173" t="e">
        <f>"("&amp;ROUND(E43/1000,3)&amp;" kWh)"</f>
        <v>#N/A</v>
      </c>
      <c r="H43" s="21"/>
      <c r="I43" s="21"/>
      <c r="J43" s="23"/>
    </row>
    <row r="44" spans="1:10" ht="15" customHeight="1">
      <c r="A44" s="561"/>
      <c r="B44" s="465"/>
      <c r="C44" s="310"/>
      <c r="D44" s="52" t="s">
        <v>312</v>
      </c>
      <c r="E44" s="56" t="e">
        <f>E39+E43-E41*E42</f>
        <v>#N/A</v>
      </c>
      <c r="F44" s="52" t="s">
        <v>114</v>
      </c>
      <c r="G44" s="173" t="e">
        <f>"("&amp;ROUND(E44/1000,3)&amp;" kWh)"</f>
        <v>#N/A</v>
      </c>
      <c r="H44" s="21"/>
      <c r="I44" s="21"/>
      <c r="J44" s="23"/>
    </row>
    <row r="45" spans="1:10" ht="15" customHeight="1">
      <c r="A45" s="561"/>
      <c r="B45" s="465"/>
      <c r="C45" s="310"/>
      <c r="D45" s="133" t="s">
        <v>205</v>
      </c>
      <c r="E45" s="56" t="e">
        <f>E44/$C$9</f>
        <v>#N/A</v>
      </c>
      <c r="F45" s="52" t="s">
        <v>203</v>
      </c>
      <c r="G45" s="173" t="e">
        <f>"("&amp;ROUND(E45*100,3)&amp;" %)"</f>
        <v>#N/A</v>
      </c>
      <c r="H45" s="21"/>
      <c r="I45" s="21"/>
      <c r="J45" s="23"/>
    </row>
    <row r="46" spans="1:10" ht="15" customHeight="1">
      <c r="A46" s="561"/>
      <c r="B46" s="465"/>
      <c r="C46" s="310"/>
      <c r="D46" s="133" t="s">
        <v>207</v>
      </c>
      <c r="E46" s="56" t="e">
        <f>IF(E45&lt;1,($E$11+$F$11*LOG($C$9/1000))+$D$15*($C$15-E38),IF(E45=1,($C$11+$D$11*LOG($C$9/1000))+0.1*(70-E38),0))</f>
        <v>#N/A</v>
      </c>
      <c r="F46" s="52" t="s">
        <v>203</v>
      </c>
      <c r="G46" s="173"/>
      <c r="H46" s="21"/>
      <c r="I46" s="21"/>
      <c r="J46" s="23"/>
    </row>
    <row r="47" spans="1:10" ht="15" customHeight="1">
      <c r="A47" s="561"/>
      <c r="B47" s="465"/>
      <c r="C47" s="310"/>
      <c r="D47" s="133" t="s">
        <v>374</v>
      </c>
      <c r="E47" s="56" t="e">
        <f>IF(E45&lt;1,(100-E46)/E46*E44,(100-E46)/E46*$C$9)</f>
        <v>#N/A</v>
      </c>
      <c r="F47" s="52" t="s">
        <v>114</v>
      </c>
      <c r="G47" s="173" t="e">
        <f>"("&amp;ROUND(E47/1000,3)&amp;" kWh)"</f>
        <v>#N/A</v>
      </c>
      <c r="H47" s="21"/>
      <c r="I47" s="21"/>
      <c r="J47" s="23"/>
    </row>
    <row r="48" spans="1:10" ht="15" customHeight="1">
      <c r="A48" s="561"/>
      <c r="B48" s="465"/>
      <c r="C48" s="310"/>
      <c r="D48" s="133" t="s">
        <v>208</v>
      </c>
      <c r="E48" s="109" t="e">
        <f>IF($B$17="Oui",E36,E36-$C$7*(E36-$C$6))</f>
        <v>#N/A</v>
      </c>
      <c r="F48" s="52" t="s">
        <v>7</v>
      </c>
      <c r="G48" s="173"/>
      <c r="H48" s="21"/>
      <c r="I48" s="21"/>
      <c r="J48" s="8"/>
    </row>
    <row r="49" spans="1:7" ht="15" customHeight="1">
      <c r="A49" s="561"/>
      <c r="B49" s="465"/>
      <c r="C49" s="310"/>
      <c r="D49" s="133" t="s">
        <v>206</v>
      </c>
      <c r="E49" s="56" t="e">
        <f>IF(E38&lt;E48,0,((($C$9/1000)*($C$13+$D$13*LOG($C$9/1000))/100)*(((E38-E48)/30)^1.25)*1000+IF($D$17="Oui",35,0))*(1-E45))</f>
        <v>#N/A</v>
      </c>
      <c r="F49" s="52" t="s">
        <v>114</v>
      </c>
      <c r="G49" s="173" t="e">
        <f>"("&amp;ROUND(E49/1000,3)&amp;" kWh)"</f>
        <v>#N/A</v>
      </c>
    </row>
    <row r="50" spans="1:7" ht="15" customHeight="1">
      <c r="A50" s="561"/>
      <c r="B50" s="465"/>
      <c r="C50" s="310"/>
      <c r="D50" s="133" t="s">
        <v>210</v>
      </c>
      <c r="E50" s="58" t="e">
        <f>(E47+E49)*E37</f>
        <v>#N/A</v>
      </c>
      <c r="F50" s="57" t="s">
        <v>114</v>
      </c>
      <c r="G50" s="59" t="e">
        <f>"("&amp;ROUND(E50/1000,3)&amp;" kWh)"</f>
        <v>#N/A</v>
      </c>
    </row>
    <row r="51" spans="1:7" ht="15" customHeight="1" thickBot="1">
      <c r="A51" s="561"/>
      <c r="B51" s="466"/>
      <c r="C51" s="304"/>
      <c r="D51" s="213" t="s">
        <v>313</v>
      </c>
      <c r="E51" s="214" t="e">
        <f>IF(AND(E37&lt;&gt;0,E37&lt;&gt;"",E44&lt;&gt;0),(E44*E37)/((E44*E37)+E50),0)</f>
        <v>#N/A</v>
      </c>
      <c r="F51" s="174" t="s">
        <v>203</v>
      </c>
      <c r="G51" s="175" t="e">
        <f>"("&amp;ROUND(E51*100,3)&amp;" %)"</f>
        <v>#N/A</v>
      </c>
    </row>
    <row r="52" spans="1:7" ht="15" customHeight="1">
      <c r="A52" s="457"/>
      <c r="B52" s="442" t="s">
        <v>213</v>
      </c>
      <c r="C52" s="423"/>
      <c r="D52" s="416"/>
      <c r="E52" s="216" t="e">
        <f>E24+E40</f>
        <v>#N/A</v>
      </c>
      <c r="F52" s="176" t="s">
        <v>122</v>
      </c>
      <c r="G52" s="59" t="e">
        <f>"("&amp;ROUND(E52/1000,3)&amp;" kWh/j)"</f>
        <v>#N/A</v>
      </c>
    </row>
    <row r="53" spans="1:7" ht="15" customHeight="1">
      <c r="A53" s="457"/>
      <c r="B53" s="297" t="s">
        <v>314</v>
      </c>
      <c r="C53" s="275"/>
      <c r="D53" s="276"/>
      <c r="E53" s="216" t="e">
        <f>(E28*E21)+(E44*E37)</f>
        <v>#N/A</v>
      </c>
      <c r="F53" s="176" t="s">
        <v>122</v>
      </c>
      <c r="G53" s="59" t="e">
        <f>"("&amp;ROUND(E53/1000,3)&amp;" kWh/j)"</f>
        <v>#N/A</v>
      </c>
    </row>
    <row r="54" spans="1:7" ht="15" customHeight="1">
      <c r="A54" s="457"/>
      <c r="B54" s="297" t="s">
        <v>315</v>
      </c>
      <c r="C54" s="275"/>
      <c r="D54" s="276"/>
      <c r="E54" s="58" t="e">
        <f>E34+E50</f>
        <v>#N/A</v>
      </c>
      <c r="F54" s="176" t="s">
        <v>122</v>
      </c>
      <c r="G54" s="59" t="e">
        <f>"("&amp;ROUND(E54/1000,3)&amp;" kWh/j)"</f>
        <v>#N/A</v>
      </c>
    </row>
    <row r="55" spans="1:7" ht="15" customHeight="1" thickBot="1">
      <c r="A55" s="567"/>
      <c r="B55" s="575" t="s">
        <v>212</v>
      </c>
      <c r="C55" s="468"/>
      <c r="D55" s="469"/>
      <c r="E55" s="76" t="e">
        <f>IF(E54&lt;&gt;0,E53/(E53+E54),0)</f>
        <v>#N/A</v>
      </c>
      <c r="F55" s="174" t="s">
        <v>203</v>
      </c>
      <c r="G55" s="175" t="e">
        <f>"("&amp;ROUND(E55*100,3)&amp;" %)"</f>
        <v>#N/A</v>
      </c>
    </row>
    <row r="56" spans="1:7" ht="15" customHeight="1">
      <c r="A56" s="560" t="s">
        <v>156</v>
      </c>
      <c r="B56" s="318" t="s">
        <v>155</v>
      </c>
      <c r="C56" s="456" t="s">
        <v>150</v>
      </c>
      <c r="D56" s="131" t="s">
        <v>151</v>
      </c>
      <c r="E56" s="172">
        <f>'Logement (1)'!E18</f>
        <v>0</v>
      </c>
      <c r="F56" s="164" t="s">
        <v>7</v>
      </c>
      <c r="G56" s="470"/>
    </row>
    <row r="57" spans="1:7" ht="15" customHeight="1">
      <c r="A57" s="561"/>
      <c r="B57" s="319"/>
      <c r="C57" s="457"/>
      <c r="D57" s="52" t="s">
        <v>152</v>
      </c>
      <c r="E57" s="74">
        <f>'Logement (1)'!E19</f>
        <v>0</v>
      </c>
      <c r="F57" s="52" t="s">
        <v>8</v>
      </c>
      <c r="G57" s="471"/>
    </row>
    <row r="58" spans="1:7" ht="15" customHeight="1">
      <c r="A58" s="561"/>
      <c r="B58" s="319"/>
      <c r="C58" s="457"/>
      <c r="D58" s="52" t="s">
        <v>200</v>
      </c>
      <c r="E58" s="109" t="e">
        <f>(1+IF($B$16="Radiateurs",0.7,1.3))/IF($B$16="Radiateurs",0.7,1.3)*E56-$C$6/IF($B$16="Radiateurs",0.7,1.3)</f>
        <v>#N/A</v>
      </c>
      <c r="F58" s="52" t="s">
        <v>7</v>
      </c>
      <c r="G58" s="472"/>
    </row>
    <row r="59" spans="1:7" ht="15" customHeight="1">
      <c r="A59" s="561"/>
      <c r="B59" s="319"/>
      <c r="C59" s="457"/>
      <c r="D59" s="52" t="s">
        <v>204</v>
      </c>
      <c r="E59" s="52" t="e">
        <f>IF(E56&gt;$C$6,$C$5*(E56-$C$6),0)</f>
        <v>#N/A</v>
      </c>
      <c r="F59" s="52" t="s">
        <v>114</v>
      </c>
      <c r="G59" s="173" t="e">
        <f>"("&amp;ROUND(E59/1000,3)&amp;" kWh)"</f>
        <v>#N/A</v>
      </c>
    </row>
    <row r="60" spans="1:7" ht="15" customHeight="1">
      <c r="A60" s="561"/>
      <c r="B60" s="319"/>
      <c r="C60" s="457"/>
      <c r="D60" s="52" t="s">
        <v>310</v>
      </c>
      <c r="E60" s="52" t="e">
        <f>E59*E57</f>
        <v>#N/A</v>
      </c>
      <c r="F60" s="52" t="s">
        <v>114</v>
      </c>
      <c r="G60" s="173" t="e">
        <f>"("&amp;ROUND(E60/1000,3)&amp;" kWh)"</f>
        <v>#N/A</v>
      </c>
    </row>
    <row r="61" spans="1:7" ht="15" customHeight="1">
      <c r="A61" s="561"/>
      <c r="B61" s="319"/>
      <c r="C61" s="457"/>
      <c r="D61" s="52" t="s">
        <v>311</v>
      </c>
      <c r="E61" s="56" t="e">
        <f>'Besoins en chauffage (8)'!E28/E57</f>
        <v>#N/A</v>
      </c>
      <c r="F61" s="52" t="s">
        <v>114</v>
      </c>
      <c r="G61" s="173" t="e">
        <f>"("&amp;ROUND(E61/1000,3)&amp;" kWh)"</f>
        <v>#N/A</v>
      </c>
    </row>
    <row r="62" spans="1:7" ht="15" customHeight="1">
      <c r="A62" s="561"/>
      <c r="B62" s="319"/>
      <c r="C62" s="457"/>
      <c r="D62" s="52" t="s">
        <v>169</v>
      </c>
      <c r="E62" s="56">
        <f>'Besoins en chauffage (8)'!E29</f>
        <v>0</v>
      </c>
      <c r="F62" s="54" t="s">
        <v>4</v>
      </c>
      <c r="G62" s="173"/>
    </row>
    <row r="63" spans="1:7" ht="15" customHeight="1">
      <c r="A63" s="561"/>
      <c r="B63" s="319"/>
      <c r="C63" s="457"/>
      <c r="D63" s="52" t="s">
        <v>373</v>
      </c>
      <c r="E63" s="56" t="e">
        <f>'Apports récupérables CH (6)'!E68</f>
        <v>#N/A</v>
      </c>
      <c r="F63" s="54"/>
      <c r="G63" s="173"/>
    </row>
    <row r="64" spans="1:7" ht="15" customHeight="1">
      <c r="A64" s="561"/>
      <c r="B64" s="319"/>
      <c r="C64" s="457"/>
      <c r="D64" s="52" t="s">
        <v>312</v>
      </c>
      <c r="E64" s="56" t="e">
        <f>E59+E63-E61*E62</f>
        <v>#N/A</v>
      </c>
      <c r="F64" s="52" t="s">
        <v>114</v>
      </c>
      <c r="G64" s="173" t="e">
        <f>"("&amp;ROUND(E64/1000,3)&amp;" kWh)"</f>
        <v>#N/A</v>
      </c>
    </row>
    <row r="65" spans="1:7" ht="15" customHeight="1">
      <c r="A65" s="561"/>
      <c r="B65" s="319"/>
      <c r="C65" s="457"/>
      <c r="D65" s="133" t="s">
        <v>205</v>
      </c>
      <c r="E65" s="56" t="e">
        <f>E64/$C$9</f>
        <v>#N/A</v>
      </c>
      <c r="F65" s="52" t="s">
        <v>203</v>
      </c>
      <c r="G65" s="173" t="e">
        <f>"("&amp;ROUND(E65*100,3)&amp;" %)"</f>
        <v>#N/A</v>
      </c>
    </row>
    <row r="66" spans="1:7" ht="15" customHeight="1">
      <c r="A66" s="561"/>
      <c r="B66" s="319"/>
      <c r="C66" s="457"/>
      <c r="D66" s="133" t="s">
        <v>207</v>
      </c>
      <c r="E66" s="56" t="e">
        <f>IF(E65&lt;1,($E$11+$F$11*LOG($C$9/1000))+$D$15*($C$15-E58),IF(E65=1,($C$11+$D$11*LOG($C$9/1000))+0.1*(70-E58),0))</f>
        <v>#N/A</v>
      </c>
      <c r="F66" s="52" t="s">
        <v>203</v>
      </c>
      <c r="G66" s="173"/>
    </row>
    <row r="67" spans="1:7" ht="15" customHeight="1">
      <c r="A67" s="561"/>
      <c r="B67" s="319"/>
      <c r="C67" s="457"/>
      <c r="D67" s="133" t="s">
        <v>374</v>
      </c>
      <c r="E67" s="56" t="e">
        <f>IF(E65&lt;1,(100-E66)/E66*E64,(100-E66)/E66*$C$9)</f>
        <v>#N/A</v>
      </c>
      <c r="F67" s="52" t="s">
        <v>114</v>
      </c>
      <c r="G67" s="173" t="e">
        <f>"("&amp;ROUND(E67/1000,3)&amp;" kWh)"</f>
        <v>#N/A</v>
      </c>
    </row>
    <row r="68" spans="1:7" ht="15" customHeight="1">
      <c r="A68" s="561"/>
      <c r="B68" s="319"/>
      <c r="C68" s="457"/>
      <c r="D68" s="133" t="s">
        <v>208</v>
      </c>
      <c r="E68" s="109" t="e">
        <f>IF($B$17="Oui",E56,E56-$C$7*(E56-$C$6))</f>
        <v>#N/A</v>
      </c>
      <c r="F68" s="52" t="s">
        <v>7</v>
      </c>
      <c r="G68" s="212"/>
    </row>
    <row r="69" spans="1:7" ht="15" customHeight="1">
      <c r="A69" s="561"/>
      <c r="B69" s="319"/>
      <c r="C69" s="457"/>
      <c r="D69" s="133" t="s">
        <v>206</v>
      </c>
      <c r="E69" s="56" t="e">
        <f>IF(E58&lt;E68,0,((($C$9/1000)*($C$13+$D$13*LOG($C$9/1000))/100)*(((E58-E68)/30)^1.25)*1000+IF($D$17="Oui",35,0))*(1-E65))</f>
        <v>#N/A</v>
      </c>
      <c r="F69" s="52" t="s">
        <v>114</v>
      </c>
      <c r="G69" s="173" t="e">
        <f>"("&amp;ROUND(E69/1000,3)&amp;" kWh)"</f>
        <v>#N/A</v>
      </c>
    </row>
    <row r="70" spans="1:7" ht="15" customHeight="1">
      <c r="A70" s="561"/>
      <c r="B70" s="319"/>
      <c r="C70" s="457"/>
      <c r="D70" s="133" t="s">
        <v>210</v>
      </c>
      <c r="E70" s="58" t="e">
        <f>(E67+E69)*E57</f>
        <v>#N/A</v>
      </c>
      <c r="F70" s="57" t="s">
        <v>114</v>
      </c>
      <c r="G70" s="59" t="e">
        <f>"("&amp;ROUND(E70/1000,3)&amp;" kWh)"</f>
        <v>#N/A</v>
      </c>
    </row>
    <row r="71" spans="1:7" ht="15" customHeight="1" thickBot="1">
      <c r="A71" s="561"/>
      <c r="B71" s="319"/>
      <c r="C71" s="567"/>
      <c r="D71" s="213" t="s">
        <v>313</v>
      </c>
      <c r="E71" s="214" t="e">
        <f>IF(AND(E57&lt;&gt;0,E57&lt;&gt;"",E64&lt;&gt;0),(E64*E57)/((E64*E57)+E70),0)</f>
        <v>#N/A</v>
      </c>
      <c r="F71" s="215" t="s">
        <v>203</v>
      </c>
      <c r="G71" s="175" t="e">
        <f>"("&amp;ROUND(E71*100,3)&amp;" %)"</f>
        <v>#N/A</v>
      </c>
    </row>
    <row r="72" spans="1:7" ht="15" customHeight="1">
      <c r="A72" s="561"/>
      <c r="B72" s="319"/>
      <c r="C72" s="309" t="s">
        <v>154</v>
      </c>
      <c r="D72" s="131" t="s">
        <v>151</v>
      </c>
      <c r="E72" s="172">
        <f>'Logement (1)'!E20</f>
        <v>0</v>
      </c>
      <c r="F72" s="164" t="s">
        <v>7</v>
      </c>
      <c r="G72" s="379"/>
    </row>
    <row r="73" spans="1:7" ht="15" customHeight="1">
      <c r="A73" s="561"/>
      <c r="B73" s="319"/>
      <c r="C73" s="310"/>
      <c r="D73" s="52" t="s">
        <v>152</v>
      </c>
      <c r="E73" s="74">
        <f>24-E57</f>
        <v>24</v>
      </c>
      <c r="F73" s="52" t="s">
        <v>8</v>
      </c>
      <c r="G73" s="380"/>
    </row>
    <row r="74" spans="1:7" ht="15" customHeight="1">
      <c r="A74" s="561"/>
      <c r="B74" s="319"/>
      <c r="C74" s="310"/>
      <c r="D74" s="52" t="s">
        <v>200</v>
      </c>
      <c r="E74" s="109" t="e">
        <f>(1+IF($B$16="Radiateurs",0.9,1.5))/IF($B$16="Radiateurs",0.9,1.5)*E72-$C$6/IF($B$16="Radiateurs",0.9,1.5)</f>
        <v>#N/A</v>
      </c>
      <c r="F74" s="52" t="s">
        <v>7</v>
      </c>
      <c r="G74" s="380"/>
    </row>
    <row r="75" spans="1:7" ht="15" customHeight="1">
      <c r="A75" s="561"/>
      <c r="B75" s="319"/>
      <c r="C75" s="310"/>
      <c r="D75" s="52" t="s">
        <v>204</v>
      </c>
      <c r="E75" s="52" t="e">
        <f>IF(E72&gt;$C$6,$C$5*(E72-$C$6),0)</f>
        <v>#N/A</v>
      </c>
      <c r="F75" s="52" t="s">
        <v>114</v>
      </c>
      <c r="G75" s="173" t="e">
        <f>"("&amp;ROUND(E75/1000,3)&amp;" kWh)"</f>
        <v>#N/A</v>
      </c>
    </row>
    <row r="76" spans="1:7" ht="15" customHeight="1">
      <c r="A76" s="561"/>
      <c r="B76" s="319"/>
      <c r="C76" s="310"/>
      <c r="D76" s="52" t="s">
        <v>310</v>
      </c>
      <c r="E76" s="52" t="e">
        <f>E75*E73</f>
        <v>#N/A</v>
      </c>
      <c r="F76" s="52" t="s">
        <v>114</v>
      </c>
      <c r="G76" s="173" t="e">
        <f>"("&amp;ROUND(E76/1000,3)&amp;" kWh)"</f>
        <v>#N/A</v>
      </c>
    </row>
    <row r="77" spans="1:7" ht="15" customHeight="1">
      <c r="A77" s="561"/>
      <c r="B77" s="319"/>
      <c r="C77" s="310"/>
      <c r="D77" s="52" t="s">
        <v>311</v>
      </c>
      <c r="E77" s="56" t="e">
        <f>'Besoins en chauffage (8)'!E34/E73</f>
        <v>#N/A</v>
      </c>
      <c r="F77" s="52" t="s">
        <v>114</v>
      </c>
      <c r="G77" s="173" t="e">
        <f>"("&amp;ROUND(E77/1000,3)&amp;" kWh)"</f>
        <v>#N/A</v>
      </c>
    </row>
    <row r="78" spans="1:7" ht="15" customHeight="1">
      <c r="A78" s="561"/>
      <c r="B78" s="319"/>
      <c r="C78" s="310"/>
      <c r="D78" s="52" t="s">
        <v>169</v>
      </c>
      <c r="E78" s="56">
        <f>'Besoins en chauffage (8)'!E35</f>
        <v>0</v>
      </c>
      <c r="F78" s="54" t="s">
        <v>4</v>
      </c>
      <c r="G78" s="173"/>
    </row>
    <row r="79" spans="1:7" ht="15" customHeight="1">
      <c r="A79" s="561"/>
      <c r="B79" s="319"/>
      <c r="C79" s="310"/>
      <c r="D79" s="52" t="s">
        <v>373</v>
      </c>
      <c r="E79" s="56" t="e">
        <f>'Apports récupérables CH (6)'!E78</f>
        <v>#N/A</v>
      </c>
      <c r="F79" s="52" t="s">
        <v>114</v>
      </c>
      <c r="G79" s="173" t="e">
        <f>"("&amp;ROUND(E79/1000,3)&amp;" kWh)"</f>
        <v>#N/A</v>
      </c>
    </row>
    <row r="80" spans="1:7" ht="15" customHeight="1">
      <c r="A80" s="561"/>
      <c r="B80" s="319"/>
      <c r="C80" s="310"/>
      <c r="D80" s="52" t="s">
        <v>312</v>
      </c>
      <c r="E80" s="56" t="e">
        <f>E75+E79-E77*E78</f>
        <v>#N/A</v>
      </c>
      <c r="F80" s="52" t="s">
        <v>114</v>
      </c>
      <c r="G80" s="173" t="e">
        <f>"("&amp;ROUND(E80/1000,3)&amp;" kWh)"</f>
        <v>#N/A</v>
      </c>
    </row>
    <row r="81" spans="1:7" ht="15" customHeight="1">
      <c r="A81" s="561"/>
      <c r="B81" s="319"/>
      <c r="C81" s="310"/>
      <c r="D81" s="133" t="s">
        <v>205</v>
      </c>
      <c r="E81" s="56" t="e">
        <f>E80/$C$9</f>
        <v>#N/A</v>
      </c>
      <c r="F81" s="52" t="s">
        <v>203</v>
      </c>
      <c r="G81" s="173" t="e">
        <f>"("&amp;ROUND(E81*100,3)&amp;" %)"</f>
        <v>#N/A</v>
      </c>
    </row>
    <row r="82" spans="1:7" ht="15" customHeight="1">
      <c r="A82" s="561"/>
      <c r="B82" s="319"/>
      <c r="C82" s="310"/>
      <c r="D82" s="133" t="s">
        <v>207</v>
      </c>
      <c r="E82" s="56" t="e">
        <f>IF(E81&lt;1,($E$11+$F$11*LOG($C$9/1000))+$D$15*($C$15-E74),IF(E81=1,($C$11+$D$11*LOG($C$9/1000))+0.1*(70-E74),0))</f>
        <v>#N/A</v>
      </c>
      <c r="F82" s="52" t="s">
        <v>203</v>
      </c>
      <c r="G82" s="173"/>
    </row>
    <row r="83" spans="1:7" ht="15" customHeight="1">
      <c r="A83" s="561"/>
      <c r="B83" s="319"/>
      <c r="C83" s="310"/>
      <c r="D83" s="133" t="s">
        <v>374</v>
      </c>
      <c r="E83" s="56" t="e">
        <f>IF(E81&lt;1,(100-E82)/E82*E80,(100-E82)/E82*$C$9)</f>
        <v>#N/A</v>
      </c>
      <c r="F83" s="52" t="s">
        <v>114</v>
      </c>
      <c r="G83" s="173" t="e">
        <f>"("&amp;ROUND(E83/1000,3)&amp;" kWh)"</f>
        <v>#N/A</v>
      </c>
    </row>
    <row r="84" spans="1:7" ht="15" customHeight="1">
      <c r="A84" s="561"/>
      <c r="B84" s="319"/>
      <c r="C84" s="310"/>
      <c r="D84" s="133" t="s">
        <v>208</v>
      </c>
      <c r="E84" s="109" t="e">
        <f>IF($B$17="Oui",E72,E72-$C$7*(E72-$C$6))</f>
        <v>#N/A</v>
      </c>
      <c r="F84" s="52" t="s">
        <v>7</v>
      </c>
      <c r="G84" s="173"/>
    </row>
    <row r="85" spans="1:7" ht="15" customHeight="1">
      <c r="A85" s="561"/>
      <c r="B85" s="319"/>
      <c r="C85" s="310"/>
      <c r="D85" s="133" t="s">
        <v>206</v>
      </c>
      <c r="E85" s="56" t="e">
        <f>IF(E74&lt;E84,0,((($C$9/1000)*($C$13+$D$13*LOG($C$9/1000))/100)*(((E74-E84)/30)^1.25)*1000+IF($D$17="Oui",35,0))*(1-E81))</f>
        <v>#N/A</v>
      </c>
      <c r="F85" s="52" t="s">
        <v>114</v>
      </c>
      <c r="G85" s="173" t="e">
        <f>"("&amp;ROUND(E85/1000,3)&amp;" kWh)"</f>
        <v>#N/A</v>
      </c>
    </row>
    <row r="86" spans="1:7" ht="15" customHeight="1">
      <c r="A86" s="561"/>
      <c r="B86" s="319"/>
      <c r="C86" s="310"/>
      <c r="D86" s="133" t="s">
        <v>210</v>
      </c>
      <c r="E86" s="58" t="e">
        <f>(E83+E85)*E73</f>
        <v>#N/A</v>
      </c>
      <c r="F86" s="57" t="s">
        <v>114</v>
      </c>
      <c r="G86" s="59" t="e">
        <f>"("&amp;ROUND(E86/1000,3)&amp;" kWh)"</f>
        <v>#N/A</v>
      </c>
    </row>
    <row r="87" spans="1:7" ht="15" customHeight="1" thickBot="1">
      <c r="A87" s="561"/>
      <c r="B87" s="277"/>
      <c r="C87" s="304"/>
      <c r="D87" s="213" t="s">
        <v>313</v>
      </c>
      <c r="E87" s="214" t="e">
        <f>IF(AND(E73&lt;&gt;0,E73&lt;&gt;"",E80&lt;&gt;0),(E80*E73)/((E80*E73)+E86),0)</f>
        <v>#N/A</v>
      </c>
      <c r="F87" s="174" t="s">
        <v>203</v>
      </c>
      <c r="G87" s="175" t="e">
        <f>"("&amp;ROUND(E87*100,3)&amp;" %)"</f>
        <v>#N/A</v>
      </c>
    </row>
    <row r="88" spans="1:7" ht="15" customHeight="1">
      <c r="A88" s="457"/>
      <c r="B88" s="442" t="s">
        <v>213</v>
      </c>
      <c r="C88" s="423"/>
      <c r="D88" s="416"/>
      <c r="E88" s="216" t="e">
        <f>E60+E76</f>
        <v>#N/A</v>
      </c>
      <c r="F88" s="176" t="s">
        <v>122</v>
      </c>
      <c r="G88" s="59" t="e">
        <f>"("&amp;ROUND(E88/1000,3)&amp;" kWh/j)"</f>
        <v>#N/A</v>
      </c>
    </row>
    <row r="89" spans="1:7" ht="15" customHeight="1">
      <c r="A89" s="457"/>
      <c r="B89" s="297" t="s">
        <v>217</v>
      </c>
      <c r="C89" s="275"/>
      <c r="D89" s="276"/>
      <c r="E89" s="216" t="e">
        <f>(E64*E57)+(E80*E73)</f>
        <v>#N/A</v>
      </c>
      <c r="F89" s="176" t="s">
        <v>122</v>
      </c>
      <c r="G89" s="59" t="e">
        <f>"("&amp;ROUND(E89/1000,3)&amp;" kWh/j)"</f>
        <v>#N/A</v>
      </c>
    </row>
    <row r="90" spans="1:7" ht="15" customHeight="1">
      <c r="A90" s="457"/>
      <c r="B90" s="297" t="s">
        <v>218</v>
      </c>
      <c r="C90" s="275"/>
      <c r="D90" s="276"/>
      <c r="E90" s="58" t="e">
        <f>E70+E86</f>
        <v>#N/A</v>
      </c>
      <c r="F90" s="176" t="s">
        <v>122</v>
      </c>
      <c r="G90" s="59" t="e">
        <f>"("&amp;ROUND(E90/1000,3)&amp;" kWh/j)"</f>
        <v>#N/A</v>
      </c>
    </row>
    <row r="91" spans="1:7" ht="15" customHeight="1" thickBot="1">
      <c r="A91" s="567"/>
      <c r="B91" s="575" t="s">
        <v>212</v>
      </c>
      <c r="C91" s="468"/>
      <c r="D91" s="469"/>
      <c r="E91" s="76" t="e">
        <f>IF(E90&lt;&gt;0,E89/(E89+E90),0)</f>
        <v>#N/A</v>
      </c>
      <c r="F91" s="174" t="s">
        <v>203</v>
      </c>
      <c r="G91" s="175" t="e">
        <f>"("&amp;ROUND(E91*100,3)&amp;" %)"</f>
        <v>#N/A</v>
      </c>
    </row>
    <row r="92" spans="1:7" ht="15" customHeight="1">
      <c r="A92" s="560" t="s">
        <v>157</v>
      </c>
      <c r="B92" s="318" t="s">
        <v>155</v>
      </c>
      <c r="C92" s="456" t="s">
        <v>150</v>
      </c>
      <c r="D92" s="131" t="s">
        <v>151</v>
      </c>
      <c r="E92" s="136">
        <f>'Logement (1)'!E22</f>
        <v>0</v>
      </c>
      <c r="F92" s="164" t="s">
        <v>7</v>
      </c>
      <c r="G92" s="470"/>
    </row>
    <row r="93" spans="1:7" ht="15" customHeight="1">
      <c r="A93" s="561"/>
      <c r="B93" s="319"/>
      <c r="C93" s="457"/>
      <c r="D93" s="52" t="s">
        <v>152</v>
      </c>
      <c r="E93" s="136">
        <f>'Logement (1)'!E23</f>
        <v>0</v>
      </c>
      <c r="F93" s="52" t="s">
        <v>8</v>
      </c>
      <c r="G93" s="471"/>
    </row>
    <row r="94" spans="1:7" ht="15" customHeight="1">
      <c r="A94" s="561"/>
      <c r="B94" s="319"/>
      <c r="C94" s="457"/>
      <c r="D94" s="52" t="s">
        <v>200</v>
      </c>
      <c r="E94" s="109" t="e">
        <f>(1+IF($B$16="Radiateurs",0.7,1.3))/IF($B$16="Radiateurs",0.7,1.3)*E92-$C$6/IF($B$16="Radiateurs",0.7,1.3)</f>
        <v>#N/A</v>
      </c>
      <c r="F94" s="52" t="s">
        <v>7</v>
      </c>
      <c r="G94" s="472"/>
    </row>
    <row r="95" spans="1:7" ht="15" customHeight="1">
      <c r="A95" s="561"/>
      <c r="B95" s="319"/>
      <c r="C95" s="457"/>
      <c r="D95" s="52" t="s">
        <v>204</v>
      </c>
      <c r="E95" s="52" t="e">
        <f>IF(E92&gt;$C$6,$C$5*(E92-$C$6),0)</f>
        <v>#N/A</v>
      </c>
      <c r="F95" s="52" t="s">
        <v>114</v>
      </c>
      <c r="G95" s="173" t="e">
        <f>"("&amp;ROUND(E95/1000,3)&amp;" kWh)"</f>
        <v>#N/A</v>
      </c>
    </row>
    <row r="96" spans="1:7" ht="15" customHeight="1">
      <c r="A96" s="561"/>
      <c r="B96" s="319"/>
      <c r="C96" s="457"/>
      <c r="D96" s="52" t="s">
        <v>310</v>
      </c>
      <c r="E96" s="52" t="e">
        <f>E95*E93</f>
        <v>#N/A</v>
      </c>
      <c r="F96" s="52" t="s">
        <v>114</v>
      </c>
      <c r="G96" s="173" t="e">
        <f>"("&amp;ROUND(E96/1000,3)&amp;" kWh)"</f>
        <v>#N/A</v>
      </c>
    </row>
    <row r="97" spans="1:7" ht="15" customHeight="1">
      <c r="A97" s="561"/>
      <c r="B97" s="319"/>
      <c r="C97" s="457"/>
      <c r="D97" s="52" t="s">
        <v>311</v>
      </c>
      <c r="E97" s="56" t="e">
        <f>'Besoins en chauffage (8)'!E42/E93</f>
        <v>#N/A</v>
      </c>
      <c r="F97" s="52" t="s">
        <v>114</v>
      </c>
      <c r="G97" s="173" t="e">
        <f>"("&amp;ROUND(E97/1000,3)&amp;" kWh)"</f>
        <v>#N/A</v>
      </c>
    </row>
    <row r="98" spans="1:7" ht="15" customHeight="1">
      <c r="A98" s="561"/>
      <c r="B98" s="319"/>
      <c r="C98" s="457"/>
      <c r="D98" s="52" t="s">
        <v>169</v>
      </c>
      <c r="E98" s="56">
        <f>'Besoins en chauffage (8)'!E43</f>
        <v>0</v>
      </c>
      <c r="F98" s="54" t="s">
        <v>4</v>
      </c>
      <c r="G98" s="173"/>
    </row>
    <row r="99" spans="1:7" ht="15" customHeight="1">
      <c r="A99" s="561"/>
      <c r="B99" s="319"/>
      <c r="C99" s="457"/>
      <c r="D99" s="52" t="s">
        <v>373</v>
      </c>
      <c r="E99" s="56" t="e">
        <f>'Apports récupérables CH (6)'!E90</f>
        <v>#N/A</v>
      </c>
      <c r="F99" s="52" t="s">
        <v>114</v>
      </c>
      <c r="G99" s="173" t="e">
        <f>"("&amp;ROUND(E99/1000,3)&amp;" kWh)"</f>
        <v>#N/A</v>
      </c>
    </row>
    <row r="100" spans="1:7" ht="15" customHeight="1">
      <c r="A100" s="561"/>
      <c r="B100" s="319"/>
      <c r="C100" s="457"/>
      <c r="D100" s="52" t="s">
        <v>312</v>
      </c>
      <c r="E100" s="56" t="e">
        <f>E95+E99-E97*E98</f>
        <v>#N/A</v>
      </c>
      <c r="F100" s="52" t="s">
        <v>114</v>
      </c>
      <c r="G100" s="173" t="e">
        <f>"("&amp;ROUND(E100/1000,3)&amp;" kWh)"</f>
        <v>#N/A</v>
      </c>
    </row>
    <row r="101" spans="1:7" ht="15" customHeight="1">
      <c r="A101" s="561"/>
      <c r="B101" s="319"/>
      <c r="C101" s="457"/>
      <c r="D101" s="133" t="s">
        <v>205</v>
      </c>
      <c r="E101" s="56" t="e">
        <f>E100/$C$9</f>
        <v>#N/A</v>
      </c>
      <c r="F101" s="52" t="s">
        <v>203</v>
      </c>
      <c r="G101" s="173" t="e">
        <f>"("&amp;ROUND(E101*100,3)&amp;" %)"</f>
        <v>#N/A</v>
      </c>
    </row>
    <row r="102" spans="1:7" ht="15" customHeight="1">
      <c r="A102" s="561"/>
      <c r="B102" s="319"/>
      <c r="C102" s="457"/>
      <c r="D102" s="133" t="s">
        <v>207</v>
      </c>
      <c r="E102" s="56" t="e">
        <f>IF(E101&lt;1,($E$11+$F$11*LOG($C$9/1000))+$D$15*($C$15-E94),IF(E101=1,($C$11+$D$11*LOG($C$9/1000))+0.1*(70-E94),0))</f>
        <v>#N/A</v>
      </c>
      <c r="F102" s="52" t="s">
        <v>203</v>
      </c>
      <c r="G102" s="173"/>
    </row>
    <row r="103" spans="1:7" ht="15" customHeight="1">
      <c r="A103" s="561"/>
      <c r="B103" s="319"/>
      <c r="C103" s="457"/>
      <c r="D103" s="133" t="s">
        <v>374</v>
      </c>
      <c r="E103" s="56" t="e">
        <f>IF(E101&lt;1,(100-E102)/E102*E100,(100-E102)/E102*$C$9)</f>
        <v>#N/A</v>
      </c>
      <c r="F103" s="52" t="s">
        <v>114</v>
      </c>
      <c r="G103" s="173" t="e">
        <f>"("&amp;ROUND(E103/1000,3)&amp;" kWh)"</f>
        <v>#N/A</v>
      </c>
    </row>
    <row r="104" spans="1:7" ht="15" customHeight="1">
      <c r="A104" s="561"/>
      <c r="B104" s="319"/>
      <c r="C104" s="457"/>
      <c r="D104" s="133" t="s">
        <v>208</v>
      </c>
      <c r="E104" s="109" t="e">
        <f>IF($B$17="Oui",E92,E92-$C$7*(E92-$C$6))</f>
        <v>#N/A</v>
      </c>
      <c r="F104" s="52" t="s">
        <v>7</v>
      </c>
      <c r="G104" s="212"/>
    </row>
    <row r="105" spans="1:7" ht="15" customHeight="1">
      <c r="A105" s="561"/>
      <c r="B105" s="319"/>
      <c r="C105" s="457"/>
      <c r="D105" s="133" t="s">
        <v>206</v>
      </c>
      <c r="E105" s="56" t="e">
        <f>IF(E94&lt;E104,0,((($C$9/1000)*($C$13+$D$13*LOG($C$9/1000))/100)*(((E94-E104)/30)^1.25)*1000+IF($D$17="Oui",35,0))*(1-E101))</f>
        <v>#N/A</v>
      </c>
      <c r="F105" s="52" t="s">
        <v>114</v>
      </c>
      <c r="G105" s="173" t="e">
        <f>"("&amp;ROUND(E105/1000,3)&amp;" kWh)"</f>
        <v>#N/A</v>
      </c>
    </row>
    <row r="106" spans="1:7" ht="15" customHeight="1">
      <c r="A106" s="561"/>
      <c r="B106" s="319"/>
      <c r="C106" s="457"/>
      <c r="D106" s="133" t="s">
        <v>210</v>
      </c>
      <c r="E106" s="58" t="e">
        <f>(E103+E105)*E93</f>
        <v>#N/A</v>
      </c>
      <c r="F106" s="57" t="s">
        <v>114</v>
      </c>
      <c r="G106" s="59" t="e">
        <f>"("&amp;ROUND(E106/1000,3)&amp;" kWh)"</f>
        <v>#N/A</v>
      </c>
    </row>
    <row r="107" spans="1:7" ht="15" customHeight="1" thickBot="1">
      <c r="A107" s="561"/>
      <c r="B107" s="319"/>
      <c r="C107" s="567"/>
      <c r="D107" s="213" t="s">
        <v>313</v>
      </c>
      <c r="E107" s="214" t="e">
        <f>IF(AND(E93&lt;&gt;0,E93&lt;&gt;"",E100&lt;&gt;0),(E100*E93)/((E100*E93)+E106),0)</f>
        <v>#N/A</v>
      </c>
      <c r="F107" s="215" t="s">
        <v>203</v>
      </c>
      <c r="G107" s="175" t="e">
        <f>"("&amp;ROUND(E107*100,3)&amp;" %)"</f>
        <v>#N/A</v>
      </c>
    </row>
    <row r="108" spans="1:7" ht="15" customHeight="1">
      <c r="A108" s="561"/>
      <c r="B108" s="319"/>
      <c r="C108" s="309" t="s">
        <v>154</v>
      </c>
      <c r="D108" s="131" t="s">
        <v>151</v>
      </c>
      <c r="E108" s="172">
        <f>'Logement (1)'!E24</f>
        <v>0</v>
      </c>
      <c r="F108" s="164" t="s">
        <v>7</v>
      </c>
      <c r="G108" s="379"/>
    </row>
    <row r="109" spans="1:7" ht="15" customHeight="1">
      <c r="A109" s="561"/>
      <c r="B109" s="319"/>
      <c r="C109" s="310"/>
      <c r="D109" s="52" t="s">
        <v>152</v>
      </c>
      <c r="E109" s="74">
        <f>24-E93</f>
        <v>24</v>
      </c>
      <c r="F109" s="52" t="s">
        <v>8</v>
      </c>
      <c r="G109" s="380"/>
    </row>
    <row r="110" spans="1:7" ht="15" customHeight="1">
      <c r="A110" s="561"/>
      <c r="B110" s="319"/>
      <c r="C110" s="310"/>
      <c r="D110" s="52" t="s">
        <v>200</v>
      </c>
      <c r="E110" s="109" t="e">
        <f>(1+IF($B$16="Radiateurs",0.9,1.5))/IF($B$16="Radiateurs",0.9,1.5)*E108-$C$6/IF($B$16="Radiateurs",0.9,1.5)</f>
        <v>#N/A</v>
      </c>
      <c r="F110" s="52" t="s">
        <v>7</v>
      </c>
      <c r="G110" s="380"/>
    </row>
    <row r="111" spans="1:7" ht="15" customHeight="1">
      <c r="A111" s="561"/>
      <c r="B111" s="319"/>
      <c r="C111" s="310"/>
      <c r="D111" s="52" t="s">
        <v>204</v>
      </c>
      <c r="E111" s="52" t="e">
        <f>IF(E108&gt;$C$6,$C$5*(E108-$C$6),0)</f>
        <v>#N/A</v>
      </c>
      <c r="F111" s="52" t="s">
        <v>114</v>
      </c>
      <c r="G111" s="173" t="e">
        <f>"("&amp;ROUND(E111/1000,3)&amp;" kWh)"</f>
        <v>#N/A</v>
      </c>
    </row>
    <row r="112" spans="1:7" ht="15" customHeight="1">
      <c r="A112" s="561"/>
      <c r="B112" s="319"/>
      <c r="C112" s="310"/>
      <c r="D112" s="52" t="s">
        <v>310</v>
      </c>
      <c r="E112" s="52" t="e">
        <f>E111*E109</f>
        <v>#N/A</v>
      </c>
      <c r="F112" s="52" t="s">
        <v>114</v>
      </c>
      <c r="G112" s="173" t="e">
        <f>"("&amp;ROUND(E112/1000,3)&amp;" kWh)"</f>
        <v>#N/A</v>
      </c>
    </row>
    <row r="113" spans="1:7" ht="15" customHeight="1">
      <c r="A113" s="561"/>
      <c r="B113" s="319"/>
      <c r="C113" s="310"/>
      <c r="D113" s="52" t="s">
        <v>311</v>
      </c>
      <c r="E113" s="56" t="e">
        <f>'Besoins en chauffage (8)'!E48/E109</f>
        <v>#N/A</v>
      </c>
      <c r="F113" s="52" t="s">
        <v>114</v>
      </c>
      <c r="G113" s="173" t="e">
        <f>"("&amp;ROUND(E113/1000,3)&amp;" kWh)"</f>
        <v>#N/A</v>
      </c>
    </row>
    <row r="114" spans="1:7" ht="15" customHeight="1">
      <c r="A114" s="561"/>
      <c r="B114" s="319"/>
      <c r="C114" s="310"/>
      <c r="D114" s="52" t="s">
        <v>169</v>
      </c>
      <c r="E114" s="56">
        <f>'Besoins en chauffage (8)'!E49</f>
        <v>0</v>
      </c>
      <c r="F114" s="54" t="s">
        <v>4</v>
      </c>
      <c r="G114" s="173"/>
    </row>
    <row r="115" spans="1:7" ht="15" customHeight="1">
      <c r="A115" s="561"/>
      <c r="B115" s="319"/>
      <c r="C115" s="310"/>
      <c r="D115" s="52" t="s">
        <v>373</v>
      </c>
      <c r="E115" s="88" t="e">
        <f>'Apports récupérables CH (6)'!E100</f>
        <v>#N/A</v>
      </c>
      <c r="F115" s="52" t="s">
        <v>114</v>
      </c>
      <c r="G115" s="173" t="e">
        <f>"("&amp;ROUND(E115/1000,3)&amp;" kWh)"</f>
        <v>#N/A</v>
      </c>
    </row>
    <row r="116" spans="1:7" ht="15" customHeight="1">
      <c r="A116" s="561"/>
      <c r="B116" s="319"/>
      <c r="C116" s="310"/>
      <c r="D116" s="52" t="s">
        <v>312</v>
      </c>
      <c r="E116" s="56" t="e">
        <f>E111+E115-E113*E114</f>
        <v>#N/A</v>
      </c>
      <c r="F116" s="52" t="s">
        <v>114</v>
      </c>
      <c r="G116" s="173" t="e">
        <f>"("&amp;ROUND(E116/1000,3)&amp;" kWh)"</f>
        <v>#N/A</v>
      </c>
    </row>
    <row r="117" spans="1:7" ht="15" customHeight="1">
      <c r="A117" s="561"/>
      <c r="B117" s="319"/>
      <c r="C117" s="310"/>
      <c r="D117" s="133" t="s">
        <v>205</v>
      </c>
      <c r="E117" s="56" t="e">
        <f>E116/$C$9</f>
        <v>#N/A</v>
      </c>
      <c r="F117" s="52" t="s">
        <v>203</v>
      </c>
      <c r="G117" s="173" t="e">
        <f>"("&amp;ROUND(E117*100,3)&amp;" %)"</f>
        <v>#N/A</v>
      </c>
    </row>
    <row r="118" spans="1:7" ht="15" customHeight="1">
      <c r="A118" s="561"/>
      <c r="B118" s="319"/>
      <c r="C118" s="310"/>
      <c r="D118" s="133" t="s">
        <v>207</v>
      </c>
      <c r="E118" s="56" t="e">
        <f>IF(E117&lt;1,($E$11+$F$11*LOG($C$9/1000))+$D$15*($C$15-E110),IF(E117=1,($C$11+$D$11*LOG($C$9/1000))+0.1*(70-E110),0))</f>
        <v>#N/A</v>
      </c>
      <c r="F118" s="52" t="s">
        <v>203</v>
      </c>
      <c r="G118" s="173"/>
    </row>
    <row r="119" spans="1:7" ht="15" customHeight="1">
      <c r="A119" s="561"/>
      <c r="B119" s="319"/>
      <c r="C119" s="310"/>
      <c r="D119" s="133" t="s">
        <v>374</v>
      </c>
      <c r="E119" s="56" t="e">
        <f>IF(E117&lt;1,(100-E118)/E118*E116,(100-E118)/E118*$C$9)</f>
        <v>#N/A</v>
      </c>
      <c r="F119" s="52" t="s">
        <v>114</v>
      </c>
      <c r="G119" s="173" t="e">
        <f>"("&amp;ROUND(E119/1000,3)&amp;" kWh)"</f>
        <v>#N/A</v>
      </c>
    </row>
    <row r="120" spans="1:7" ht="15" customHeight="1">
      <c r="A120" s="561"/>
      <c r="B120" s="319"/>
      <c r="C120" s="310"/>
      <c r="D120" s="133" t="s">
        <v>208</v>
      </c>
      <c r="E120" s="109" t="e">
        <f>IF($B$17="Oui",E108,E108-$C$7*(E108-$C$6))</f>
        <v>#N/A</v>
      </c>
      <c r="F120" s="52" t="s">
        <v>7</v>
      </c>
      <c r="G120" s="173"/>
    </row>
    <row r="121" spans="1:7" ht="15" customHeight="1">
      <c r="A121" s="561"/>
      <c r="B121" s="319"/>
      <c r="C121" s="310"/>
      <c r="D121" s="133" t="s">
        <v>206</v>
      </c>
      <c r="E121" s="56" t="e">
        <f>IF(E110&lt;E120,0,((($C$9/1000)*($C$13+$D$13*LOG($C$9/1000))/100)*(((E110-E120)/30)^1.25)*1000+IF($D$17="Oui",35,0))*(1-E117))</f>
        <v>#N/A</v>
      </c>
      <c r="F121" s="52" t="s">
        <v>114</v>
      </c>
      <c r="G121" s="173" t="e">
        <f>"("&amp;ROUND(E121/1000,3)&amp;" kWh)"</f>
        <v>#N/A</v>
      </c>
    </row>
    <row r="122" spans="1:7" ht="15" customHeight="1">
      <c r="A122" s="561"/>
      <c r="B122" s="319"/>
      <c r="C122" s="310"/>
      <c r="D122" s="133" t="s">
        <v>210</v>
      </c>
      <c r="E122" s="58" t="e">
        <f>(E119+E121)*E109</f>
        <v>#N/A</v>
      </c>
      <c r="F122" s="57" t="s">
        <v>114</v>
      </c>
      <c r="G122" s="59" t="e">
        <f>"("&amp;ROUND(E122/1000,3)&amp;" kWh)"</f>
        <v>#N/A</v>
      </c>
    </row>
    <row r="123" spans="1:7" ht="15" customHeight="1" thickBot="1">
      <c r="A123" s="561"/>
      <c r="B123" s="277"/>
      <c r="C123" s="304"/>
      <c r="D123" s="213" t="s">
        <v>313</v>
      </c>
      <c r="E123" s="214" t="e">
        <f>IF(AND(E109&lt;&gt;0,E109&lt;&gt;"",E116&lt;&gt;0),(E116*E109)/((E116*E109)+E122),0)</f>
        <v>#N/A</v>
      </c>
      <c r="F123" s="174" t="s">
        <v>203</v>
      </c>
      <c r="G123" s="175" t="e">
        <f>"("&amp;ROUND(E123*100,3)&amp;" %)"</f>
        <v>#N/A</v>
      </c>
    </row>
    <row r="124" spans="1:7" ht="15" customHeight="1">
      <c r="A124" s="457"/>
      <c r="B124" s="442" t="s">
        <v>213</v>
      </c>
      <c r="C124" s="423"/>
      <c r="D124" s="416"/>
      <c r="E124" s="216" t="e">
        <f>E96+E112</f>
        <v>#N/A</v>
      </c>
      <c r="F124" s="176" t="s">
        <v>122</v>
      </c>
      <c r="G124" s="59" t="e">
        <f>"("&amp;ROUND(E124/1000,3)&amp;" kWh/j)"</f>
        <v>#N/A</v>
      </c>
    </row>
    <row r="125" spans="1:7" ht="15" customHeight="1">
      <c r="A125" s="457"/>
      <c r="B125" s="297" t="s">
        <v>217</v>
      </c>
      <c r="C125" s="275"/>
      <c r="D125" s="276"/>
      <c r="E125" s="216" t="e">
        <f>(E100*E93)+(E116*E109)</f>
        <v>#N/A</v>
      </c>
      <c r="F125" s="176" t="s">
        <v>122</v>
      </c>
      <c r="G125" s="59" t="e">
        <f>"("&amp;ROUND(E125/1000,3)&amp;" kWh/j)"</f>
        <v>#N/A</v>
      </c>
    </row>
    <row r="126" spans="1:7" ht="15" customHeight="1">
      <c r="A126" s="457"/>
      <c r="B126" s="297" t="s">
        <v>218</v>
      </c>
      <c r="C126" s="275"/>
      <c r="D126" s="276"/>
      <c r="E126" s="58" t="e">
        <f>E106+E122</f>
        <v>#N/A</v>
      </c>
      <c r="F126" s="176" t="s">
        <v>122</v>
      </c>
      <c r="G126" s="59" t="e">
        <f>"("&amp;ROUND(E126/1000,3)&amp;" kWh/j)"</f>
        <v>#N/A</v>
      </c>
    </row>
    <row r="127" spans="1:7" ht="15" customHeight="1" thickBot="1">
      <c r="A127" s="567"/>
      <c r="B127" s="575" t="s">
        <v>212</v>
      </c>
      <c r="C127" s="468"/>
      <c r="D127" s="469"/>
      <c r="E127" s="76" t="e">
        <f>IF(E126&lt;&gt;0,E125/(E125+E126),0)</f>
        <v>#N/A</v>
      </c>
      <c r="F127" s="174" t="s">
        <v>203</v>
      </c>
      <c r="G127" s="175" t="e">
        <f>"("&amp;ROUND(E127*100,3)&amp;" %)"</f>
        <v>#N/A</v>
      </c>
    </row>
    <row r="128" spans="1:7" ht="15" customHeight="1">
      <c r="A128" s="560" t="s">
        <v>158</v>
      </c>
      <c r="B128" s="318" t="s">
        <v>155</v>
      </c>
      <c r="C128" s="456" t="s">
        <v>150</v>
      </c>
      <c r="D128" s="131" t="s">
        <v>151</v>
      </c>
      <c r="E128" s="136">
        <f>'Logement (1)'!E26</f>
        <v>0</v>
      </c>
      <c r="F128" s="164" t="s">
        <v>7</v>
      </c>
      <c r="G128" s="470"/>
    </row>
    <row r="129" spans="1:7" ht="15" customHeight="1">
      <c r="A129" s="561"/>
      <c r="B129" s="319"/>
      <c r="C129" s="457"/>
      <c r="D129" s="52" t="s">
        <v>152</v>
      </c>
      <c r="E129" s="136">
        <f>'Logement (1)'!E27</f>
        <v>0</v>
      </c>
      <c r="F129" s="52" t="s">
        <v>8</v>
      </c>
      <c r="G129" s="471"/>
    </row>
    <row r="130" spans="1:7" ht="15" customHeight="1">
      <c r="A130" s="561"/>
      <c r="B130" s="319"/>
      <c r="C130" s="457"/>
      <c r="D130" s="52" t="s">
        <v>200</v>
      </c>
      <c r="E130" s="109" t="e">
        <f>(1+IF($B$16="Radiateurs",0.7,1.3))/IF($B$16="Radiateurs",0.7,1.3)*E128-$C$6/IF($B$16="Radiateurs",0.7,1.3)</f>
        <v>#N/A</v>
      </c>
      <c r="F130" s="52" t="s">
        <v>7</v>
      </c>
      <c r="G130" s="472"/>
    </row>
    <row r="131" spans="1:7" ht="15" customHeight="1">
      <c r="A131" s="561"/>
      <c r="B131" s="319"/>
      <c r="C131" s="457"/>
      <c r="D131" s="52" t="s">
        <v>204</v>
      </c>
      <c r="E131" s="52" t="e">
        <f>IF(E128&gt;$C$6,$C$5*(E128-$C$6),0)</f>
        <v>#N/A</v>
      </c>
      <c r="F131" s="52" t="s">
        <v>114</v>
      </c>
      <c r="G131" s="173" t="e">
        <f>"("&amp;ROUND(E131/1000,3)&amp;" kWh)"</f>
        <v>#N/A</v>
      </c>
    </row>
    <row r="132" spans="1:7" ht="15" customHeight="1">
      <c r="A132" s="561"/>
      <c r="B132" s="319"/>
      <c r="C132" s="457"/>
      <c r="D132" s="52" t="s">
        <v>310</v>
      </c>
      <c r="E132" s="52" t="e">
        <f>E131*E129</f>
        <v>#N/A</v>
      </c>
      <c r="F132" s="52" t="s">
        <v>114</v>
      </c>
      <c r="G132" s="173" t="e">
        <f>"("&amp;ROUND(E132/1000,3)&amp;" kWh)"</f>
        <v>#N/A</v>
      </c>
    </row>
    <row r="133" spans="1:7" ht="15" customHeight="1">
      <c r="A133" s="561"/>
      <c r="B133" s="319"/>
      <c r="C133" s="457"/>
      <c r="D133" s="52" t="s">
        <v>311</v>
      </c>
      <c r="E133" s="56" t="e">
        <f>'Besoins en chauffage (8)'!E56/E129</f>
        <v>#N/A</v>
      </c>
      <c r="F133" s="52" t="s">
        <v>114</v>
      </c>
      <c r="G133" s="173" t="e">
        <f>"("&amp;ROUND(E133/1000,3)&amp;" kWh)"</f>
        <v>#N/A</v>
      </c>
    </row>
    <row r="134" spans="1:7" ht="15" customHeight="1">
      <c r="A134" s="561"/>
      <c r="B134" s="319"/>
      <c r="C134" s="457"/>
      <c r="D134" s="52" t="s">
        <v>169</v>
      </c>
      <c r="E134" s="56">
        <f>'Besoins en chauffage (8)'!E57</f>
        <v>0</v>
      </c>
      <c r="F134" s="54" t="s">
        <v>4</v>
      </c>
      <c r="G134" s="173"/>
    </row>
    <row r="135" spans="1:7" ht="15" customHeight="1">
      <c r="A135" s="561"/>
      <c r="B135" s="319"/>
      <c r="C135" s="457"/>
      <c r="D135" s="52" t="s">
        <v>373</v>
      </c>
      <c r="E135" s="56" t="e">
        <f>'Apports récupérables CH (6)'!E112</f>
        <v>#N/A</v>
      </c>
      <c r="F135" s="52" t="s">
        <v>114</v>
      </c>
      <c r="G135" s="173" t="e">
        <f>"("&amp;ROUND(E135/1000,3)&amp;" kWh)"</f>
        <v>#N/A</v>
      </c>
    </row>
    <row r="136" spans="1:7" ht="15" customHeight="1">
      <c r="A136" s="561"/>
      <c r="B136" s="319"/>
      <c r="C136" s="457"/>
      <c r="D136" s="52" t="s">
        <v>312</v>
      </c>
      <c r="E136" s="56" t="e">
        <f>E131+E135-E133*E134</f>
        <v>#N/A</v>
      </c>
      <c r="F136" s="52" t="s">
        <v>114</v>
      </c>
      <c r="G136" s="173" t="e">
        <f>"("&amp;ROUND(E136/1000,3)&amp;" kWh)"</f>
        <v>#N/A</v>
      </c>
    </row>
    <row r="137" spans="1:7" ht="15" customHeight="1">
      <c r="A137" s="561"/>
      <c r="B137" s="319"/>
      <c r="C137" s="457"/>
      <c r="D137" s="133" t="s">
        <v>205</v>
      </c>
      <c r="E137" s="56" t="e">
        <f>E136/$C$9</f>
        <v>#N/A</v>
      </c>
      <c r="F137" s="52" t="s">
        <v>203</v>
      </c>
      <c r="G137" s="173" t="e">
        <f>"("&amp;ROUND(E137*100,3)&amp;" %)"</f>
        <v>#N/A</v>
      </c>
    </row>
    <row r="138" spans="1:7" ht="15" customHeight="1">
      <c r="A138" s="561"/>
      <c r="B138" s="319"/>
      <c r="C138" s="457"/>
      <c r="D138" s="133" t="s">
        <v>207</v>
      </c>
      <c r="E138" s="56" t="e">
        <f>IF(E137&lt;1,($E$11+$F$11*LOG($C$9/1000))+$D$15*($C$15-E130),IF(E137=1,($C$11+$D$11*LOG($C$9/1000))+0.1*(70-E130),0))</f>
        <v>#N/A</v>
      </c>
      <c r="F138" s="52" t="s">
        <v>203</v>
      </c>
      <c r="G138" s="173"/>
    </row>
    <row r="139" spans="1:7" ht="15" customHeight="1">
      <c r="A139" s="561"/>
      <c r="B139" s="319"/>
      <c r="C139" s="457"/>
      <c r="D139" s="133" t="s">
        <v>374</v>
      </c>
      <c r="E139" s="56" t="e">
        <f>IF(E137&lt;1,(100-E138)/E138*E136,(100-E138)/E138*$C$9)</f>
        <v>#N/A</v>
      </c>
      <c r="F139" s="52" t="s">
        <v>114</v>
      </c>
      <c r="G139" s="173" t="e">
        <f>"("&amp;ROUND(E139/1000,3)&amp;" kWh)"</f>
        <v>#N/A</v>
      </c>
    </row>
    <row r="140" spans="1:7" ht="15" customHeight="1">
      <c r="A140" s="561"/>
      <c r="B140" s="319"/>
      <c r="C140" s="457"/>
      <c r="D140" s="133" t="s">
        <v>208</v>
      </c>
      <c r="E140" s="109" t="e">
        <f>IF($B$17="Oui",E128,E128-$C$7*(E128-$C$6))</f>
        <v>#N/A</v>
      </c>
      <c r="F140" s="52" t="s">
        <v>7</v>
      </c>
      <c r="G140" s="212"/>
    </row>
    <row r="141" spans="1:7" ht="15" customHeight="1">
      <c r="A141" s="561"/>
      <c r="B141" s="319"/>
      <c r="C141" s="457"/>
      <c r="D141" s="133" t="s">
        <v>206</v>
      </c>
      <c r="E141" s="56" t="e">
        <f>IF(E130&lt;E140,0,((($C$9/1000)*($C$13+$D$13*LOG($C$9/1000))/100)*(((E130-E140)/30)^1.25)*1000+IF($D$17="Oui",35,0))*(1-E137))</f>
        <v>#N/A</v>
      </c>
      <c r="F141" s="52" t="s">
        <v>114</v>
      </c>
      <c r="G141" s="173" t="e">
        <f>"("&amp;ROUND(E141/1000,3)&amp;" kWh)"</f>
        <v>#N/A</v>
      </c>
    </row>
    <row r="142" spans="1:7" ht="15" customHeight="1">
      <c r="A142" s="561"/>
      <c r="B142" s="319"/>
      <c r="C142" s="457"/>
      <c r="D142" s="133" t="s">
        <v>210</v>
      </c>
      <c r="E142" s="58" t="e">
        <f>(E139+E141)*E129</f>
        <v>#N/A</v>
      </c>
      <c r="F142" s="57" t="s">
        <v>114</v>
      </c>
      <c r="G142" s="59" t="e">
        <f>"("&amp;ROUND(E142/1000,3)&amp;" kWh)"</f>
        <v>#N/A</v>
      </c>
    </row>
    <row r="143" spans="1:7" ht="15" customHeight="1" thickBot="1">
      <c r="A143" s="561"/>
      <c r="B143" s="319"/>
      <c r="C143" s="567"/>
      <c r="D143" s="213" t="s">
        <v>313</v>
      </c>
      <c r="E143" s="214" t="e">
        <f>IF(AND(E129&lt;&gt;0,E129&lt;&gt;"",E136&lt;&gt;0),(E136*E129)/((E136*E129)+E142),0)</f>
        <v>#N/A</v>
      </c>
      <c r="F143" s="215" t="s">
        <v>203</v>
      </c>
      <c r="G143" s="175" t="e">
        <f>"("&amp;ROUND(E143*100,3)&amp;" %)"</f>
        <v>#N/A</v>
      </c>
    </row>
    <row r="144" spans="1:7" ht="15" customHeight="1">
      <c r="A144" s="561"/>
      <c r="B144" s="319"/>
      <c r="C144" s="309" t="s">
        <v>154</v>
      </c>
      <c r="D144" s="131" t="s">
        <v>151</v>
      </c>
      <c r="E144" s="172">
        <f>'Logement (1)'!E28</f>
        <v>0</v>
      </c>
      <c r="F144" s="164" t="s">
        <v>7</v>
      </c>
      <c r="G144" s="379"/>
    </row>
    <row r="145" spans="1:7" ht="15" customHeight="1">
      <c r="A145" s="561"/>
      <c r="B145" s="319"/>
      <c r="C145" s="310"/>
      <c r="D145" s="52" t="s">
        <v>152</v>
      </c>
      <c r="E145" s="74">
        <f>24-E129</f>
        <v>24</v>
      </c>
      <c r="F145" s="52" t="s">
        <v>8</v>
      </c>
      <c r="G145" s="380"/>
    </row>
    <row r="146" spans="1:7" ht="15" customHeight="1">
      <c r="A146" s="561"/>
      <c r="B146" s="319"/>
      <c r="C146" s="310"/>
      <c r="D146" s="52" t="s">
        <v>200</v>
      </c>
      <c r="E146" s="109" t="e">
        <f>(1+IF($B$16="Radiateurs",0.9,1.5))/IF($B$16="Radiateurs",0.9,1.5)*E144-$C$6/IF($B$16="Radiateurs",0.9,1.5)</f>
        <v>#N/A</v>
      </c>
      <c r="F146" s="52" t="s">
        <v>7</v>
      </c>
      <c r="G146" s="380"/>
    </row>
    <row r="147" spans="1:7" ht="15" customHeight="1">
      <c r="A147" s="561"/>
      <c r="B147" s="319"/>
      <c r="C147" s="310"/>
      <c r="D147" s="52" t="s">
        <v>204</v>
      </c>
      <c r="E147" s="52" t="e">
        <f>IF(E144&gt;$C$6,$C$5*(E144-$C$6),0)</f>
        <v>#N/A</v>
      </c>
      <c r="F147" s="52" t="s">
        <v>114</v>
      </c>
      <c r="G147" s="173" t="e">
        <f>"("&amp;ROUND(E147/1000,3)&amp;" kWh)"</f>
        <v>#N/A</v>
      </c>
    </row>
    <row r="148" spans="1:7" ht="15" customHeight="1">
      <c r="A148" s="561"/>
      <c r="B148" s="319"/>
      <c r="C148" s="310"/>
      <c r="D148" s="52" t="s">
        <v>310</v>
      </c>
      <c r="E148" s="52" t="e">
        <f>E147*E145</f>
        <v>#N/A</v>
      </c>
      <c r="F148" s="52" t="s">
        <v>114</v>
      </c>
      <c r="G148" s="173" t="e">
        <f>"("&amp;ROUND(E148/1000,3)&amp;" kWh)"</f>
        <v>#N/A</v>
      </c>
    </row>
    <row r="149" spans="1:7" ht="15" customHeight="1">
      <c r="A149" s="561"/>
      <c r="B149" s="319"/>
      <c r="C149" s="310"/>
      <c r="D149" s="52" t="s">
        <v>311</v>
      </c>
      <c r="E149" s="56" t="e">
        <f>'Besoins en chauffage (8)'!E62/E145</f>
        <v>#N/A</v>
      </c>
      <c r="F149" s="52" t="s">
        <v>114</v>
      </c>
      <c r="G149" s="173" t="e">
        <f>"("&amp;ROUND(E149/1000,3)&amp;" kWh)"</f>
        <v>#N/A</v>
      </c>
    </row>
    <row r="150" spans="1:7" ht="15" customHeight="1">
      <c r="A150" s="561"/>
      <c r="B150" s="319"/>
      <c r="C150" s="310"/>
      <c r="D150" s="52" t="s">
        <v>169</v>
      </c>
      <c r="E150" s="56">
        <f>'Besoins en chauffage (8)'!E63</f>
        <v>0</v>
      </c>
      <c r="F150" s="54" t="s">
        <v>4</v>
      </c>
      <c r="G150" s="173"/>
    </row>
    <row r="151" spans="1:7" ht="15" customHeight="1">
      <c r="A151" s="561"/>
      <c r="B151" s="319"/>
      <c r="C151" s="310"/>
      <c r="D151" s="52" t="s">
        <v>373</v>
      </c>
      <c r="E151" s="56" t="e">
        <f>'Apports récupérables CH (6)'!E122</f>
        <v>#N/A</v>
      </c>
      <c r="F151" s="54"/>
      <c r="G151" s="173"/>
    </row>
    <row r="152" spans="1:7" ht="15" customHeight="1">
      <c r="A152" s="561"/>
      <c r="B152" s="319"/>
      <c r="C152" s="310"/>
      <c r="D152" s="52" t="s">
        <v>312</v>
      </c>
      <c r="E152" s="56" t="e">
        <f>E147+E151-E149*E150</f>
        <v>#N/A</v>
      </c>
      <c r="F152" s="52" t="s">
        <v>114</v>
      </c>
      <c r="G152" s="173" t="e">
        <f>"("&amp;ROUND(E152/1000,3)&amp;" kWh)"</f>
        <v>#N/A</v>
      </c>
    </row>
    <row r="153" spans="1:7" ht="15" customHeight="1">
      <c r="A153" s="561"/>
      <c r="B153" s="319"/>
      <c r="C153" s="310"/>
      <c r="D153" s="133" t="s">
        <v>205</v>
      </c>
      <c r="E153" s="56" t="e">
        <f>E152/$C$9</f>
        <v>#N/A</v>
      </c>
      <c r="F153" s="52" t="s">
        <v>203</v>
      </c>
      <c r="G153" s="173" t="e">
        <f>"("&amp;ROUND(E153*100,3)&amp;" %)"</f>
        <v>#N/A</v>
      </c>
    </row>
    <row r="154" spans="1:7" ht="15" customHeight="1">
      <c r="A154" s="561"/>
      <c r="B154" s="319"/>
      <c r="C154" s="310"/>
      <c r="D154" s="133" t="s">
        <v>207</v>
      </c>
      <c r="E154" s="56" t="e">
        <f>IF(E153&lt;1,($E$11+$F$11*LOG($C$9/1000))+$D$15*($C$15-E146),IF(E153=1,($C$11+$D$11*LOG($C$9/1000))+0.1*(70-E146),0))</f>
        <v>#N/A</v>
      </c>
      <c r="F154" s="52" t="s">
        <v>203</v>
      </c>
      <c r="G154" s="173"/>
    </row>
    <row r="155" spans="1:7" ht="15" customHeight="1">
      <c r="A155" s="561"/>
      <c r="B155" s="319"/>
      <c r="C155" s="310"/>
      <c r="D155" s="133" t="s">
        <v>374</v>
      </c>
      <c r="E155" s="56" t="e">
        <f>IF(E153&lt;1,(100-E154)/E154*E152,(100-E154)/E154*$C$9)</f>
        <v>#N/A</v>
      </c>
      <c r="F155" s="52" t="s">
        <v>114</v>
      </c>
      <c r="G155" s="173" t="e">
        <f>"("&amp;ROUND(E155/1000,3)&amp;" kWh)"</f>
        <v>#N/A</v>
      </c>
    </row>
    <row r="156" spans="1:7" ht="15" customHeight="1">
      <c r="A156" s="561"/>
      <c r="B156" s="319"/>
      <c r="C156" s="310"/>
      <c r="D156" s="133" t="s">
        <v>208</v>
      </c>
      <c r="E156" s="109" t="e">
        <f>IF($B$17="Oui",E144,E144-$C$7*(E144-$C$6))</f>
        <v>#N/A</v>
      </c>
      <c r="F156" s="52" t="s">
        <v>7</v>
      </c>
      <c r="G156" s="173"/>
    </row>
    <row r="157" spans="1:7" ht="15" customHeight="1">
      <c r="A157" s="561"/>
      <c r="B157" s="319"/>
      <c r="C157" s="310"/>
      <c r="D157" s="133" t="s">
        <v>206</v>
      </c>
      <c r="E157" s="56" t="e">
        <f>IF(E146&lt;E156,0,((($C$9/1000)*($C$13+$D$13*LOG($C$9/1000))/100)*(((E146-E156)/30)^1.25)*1000+IF($D$17="Oui",35,0))*(1-E153))</f>
        <v>#N/A</v>
      </c>
      <c r="F157" s="52" t="s">
        <v>114</v>
      </c>
      <c r="G157" s="173" t="e">
        <f>"("&amp;ROUND(E157/1000,3)&amp;" kWh)"</f>
        <v>#N/A</v>
      </c>
    </row>
    <row r="158" spans="1:7" ht="15" customHeight="1">
      <c r="A158" s="561"/>
      <c r="B158" s="319"/>
      <c r="C158" s="310"/>
      <c r="D158" s="133" t="s">
        <v>210</v>
      </c>
      <c r="E158" s="58" t="e">
        <f>(E155+E157)*E145</f>
        <v>#N/A</v>
      </c>
      <c r="F158" s="57" t="s">
        <v>114</v>
      </c>
      <c r="G158" s="59" t="e">
        <f>"("&amp;ROUND(E158/1000,3)&amp;" kWh)"</f>
        <v>#N/A</v>
      </c>
    </row>
    <row r="159" spans="1:7" ht="15" customHeight="1" thickBot="1">
      <c r="A159" s="561"/>
      <c r="B159" s="277"/>
      <c r="C159" s="304"/>
      <c r="D159" s="213" t="s">
        <v>313</v>
      </c>
      <c r="E159" s="214" t="e">
        <f>IF(AND(E145&lt;&gt;0,E145&lt;&gt;"",E152&lt;&gt;0),(E152*E145)/((E152*E145)+E158),0)</f>
        <v>#N/A</v>
      </c>
      <c r="F159" s="174" t="s">
        <v>203</v>
      </c>
      <c r="G159" s="175" t="e">
        <f>"("&amp;ROUND(E159*100,3)&amp;" %)"</f>
        <v>#N/A</v>
      </c>
    </row>
    <row r="160" spans="1:7" ht="15" customHeight="1">
      <c r="A160" s="457"/>
      <c r="B160" s="442" t="s">
        <v>213</v>
      </c>
      <c r="C160" s="423"/>
      <c r="D160" s="416"/>
      <c r="E160" s="216" t="e">
        <f>E132+E148</f>
        <v>#N/A</v>
      </c>
      <c r="F160" s="176" t="s">
        <v>122</v>
      </c>
      <c r="G160" s="59" t="e">
        <f>"("&amp;ROUND(E160/1000,3)&amp;" kWh/j)"</f>
        <v>#N/A</v>
      </c>
    </row>
    <row r="161" spans="1:7" ht="15" customHeight="1">
      <c r="A161" s="457"/>
      <c r="B161" s="297" t="s">
        <v>217</v>
      </c>
      <c r="C161" s="275"/>
      <c r="D161" s="276"/>
      <c r="E161" s="216" t="e">
        <f>(E136*E129)+(E152*E145)</f>
        <v>#N/A</v>
      </c>
      <c r="F161" s="176" t="s">
        <v>122</v>
      </c>
      <c r="G161" s="59" t="e">
        <f>"("&amp;ROUND(E161/1000,3)&amp;" kWh/j)"</f>
        <v>#N/A</v>
      </c>
    </row>
    <row r="162" spans="1:7" ht="15" customHeight="1">
      <c r="A162" s="457"/>
      <c r="B162" s="297" t="s">
        <v>218</v>
      </c>
      <c r="C162" s="275"/>
      <c r="D162" s="276"/>
      <c r="E162" s="58" t="e">
        <f>E142+E158</f>
        <v>#N/A</v>
      </c>
      <c r="F162" s="176" t="s">
        <v>122</v>
      </c>
      <c r="G162" s="59" t="e">
        <f>"("&amp;ROUND(E162/1000,3)&amp;" kWh/j)"</f>
        <v>#N/A</v>
      </c>
    </row>
    <row r="163" spans="1:7" ht="15" customHeight="1" thickBot="1">
      <c r="A163" s="567"/>
      <c r="B163" s="575" t="s">
        <v>212</v>
      </c>
      <c r="C163" s="468"/>
      <c r="D163" s="469"/>
      <c r="E163" s="76" t="e">
        <f>IF(E162&lt;&gt;0,E161/(E161+E162),0)</f>
        <v>#N/A</v>
      </c>
      <c r="F163" s="174" t="s">
        <v>203</v>
      </c>
      <c r="G163" s="175" t="e">
        <f>"("&amp;ROUND(E163*100,3)&amp;" %)"</f>
        <v>#N/A</v>
      </c>
    </row>
    <row r="164" spans="1:7" ht="15" customHeight="1">
      <c r="A164" s="560" t="s">
        <v>159</v>
      </c>
      <c r="B164" s="318" t="s">
        <v>155</v>
      </c>
      <c r="C164" s="456" t="s">
        <v>150</v>
      </c>
      <c r="D164" s="131" t="s">
        <v>151</v>
      </c>
      <c r="E164" s="172">
        <f>'Logement (1)'!E30</f>
        <v>0</v>
      </c>
      <c r="F164" s="164" t="s">
        <v>7</v>
      </c>
      <c r="G164" s="470"/>
    </row>
    <row r="165" spans="1:7" ht="15" customHeight="1">
      <c r="A165" s="561"/>
      <c r="B165" s="319"/>
      <c r="C165" s="457"/>
      <c r="D165" s="52" t="s">
        <v>152</v>
      </c>
      <c r="E165" s="74">
        <f>'Logement (1)'!E31</f>
        <v>0</v>
      </c>
      <c r="F165" s="52" t="s">
        <v>8</v>
      </c>
      <c r="G165" s="471"/>
    </row>
    <row r="166" spans="1:7" ht="15" customHeight="1">
      <c r="A166" s="561"/>
      <c r="B166" s="319"/>
      <c r="C166" s="457"/>
      <c r="D166" s="52" t="s">
        <v>200</v>
      </c>
      <c r="E166" s="109" t="e">
        <f>(1+IF($B$16="Radiateurs",0.7,1.3))/IF($B$16="Radiateurs",0.7,1.3)*E164-$C$6/IF($B$16="Radiateurs",0.7,1.3)</f>
        <v>#N/A</v>
      </c>
      <c r="F166" s="52" t="s">
        <v>7</v>
      </c>
      <c r="G166" s="472"/>
    </row>
    <row r="167" spans="1:7" ht="15" customHeight="1">
      <c r="A167" s="561"/>
      <c r="B167" s="319"/>
      <c r="C167" s="457"/>
      <c r="D167" s="52" t="s">
        <v>204</v>
      </c>
      <c r="E167" s="52" t="e">
        <f>IF(E164&gt;$C$6,$C$5*(E164-$C$6),0)</f>
        <v>#N/A</v>
      </c>
      <c r="F167" s="52" t="s">
        <v>114</v>
      </c>
      <c r="G167" s="173" t="e">
        <f>"("&amp;ROUND(E167/1000,3)&amp;" kWh)"</f>
        <v>#N/A</v>
      </c>
    </row>
    <row r="168" spans="1:7" ht="15" customHeight="1">
      <c r="A168" s="561"/>
      <c r="B168" s="319"/>
      <c r="C168" s="457"/>
      <c r="D168" s="52" t="s">
        <v>310</v>
      </c>
      <c r="E168" s="52" t="e">
        <f>E167*E165</f>
        <v>#N/A</v>
      </c>
      <c r="F168" s="52" t="s">
        <v>114</v>
      </c>
      <c r="G168" s="173" t="e">
        <f>"("&amp;ROUND(E168/1000,3)&amp;" kWh)"</f>
        <v>#N/A</v>
      </c>
    </row>
    <row r="169" spans="1:7" ht="15" customHeight="1">
      <c r="A169" s="561"/>
      <c r="B169" s="319"/>
      <c r="C169" s="457"/>
      <c r="D169" s="52" t="s">
        <v>311</v>
      </c>
      <c r="E169" s="56" t="e">
        <f>'Besoins en chauffage (8)'!E70/E165</f>
        <v>#N/A</v>
      </c>
      <c r="F169" s="52" t="s">
        <v>114</v>
      </c>
      <c r="G169" s="173" t="e">
        <f>"("&amp;ROUND(E169/1000,3)&amp;" kWh)"</f>
        <v>#N/A</v>
      </c>
    </row>
    <row r="170" spans="1:7" ht="15" customHeight="1">
      <c r="A170" s="561"/>
      <c r="B170" s="319"/>
      <c r="C170" s="457"/>
      <c r="D170" s="52" t="s">
        <v>169</v>
      </c>
      <c r="E170" s="56">
        <f>'Besoins en chauffage (8)'!E71</f>
        <v>0</v>
      </c>
      <c r="F170" s="54" t="s">
        <v>4</v>
      </c>
      <c r="G170" s="173"/>
    </row>
    <row r="171" spans="1:7" ht="15" customHeight="1">
      <c r="A171" s="561"/>
      <c r="B171" s="319"/>
      <c r="C171" s="457"/>
      <c r="D171" s="52" t="s">
        <v>373</v>
      </c>
      <c r="E171" s="56" t="e">
        <f>'Apports récupérables CH (6)'!E134</f>
        <v>#N/A</v>
      </c>
      <c r="F171" s="52" t="s">
        <v>114</v>
      </c>
      <c r="G171" s="173" t="e">
        <f>"("&amp;ROUND(E171/1000,3)&amp;" kWh)"</f>
        <v>#N/A</v>
      </c>
    </row>
    <row r="172" spans="1:7" ht="15" customHeight="1">
      <c r="A172" s="561"/>
      <c r="B172" s="319"/>
      <c r="C172" s="457"/>
      <c r="D172" s="52" t="s">
        <v>312</v>
      </c>
      <c r="E172" s="56" t="e">
        <f>E167+E171-E169*E170</f>
        <v>#N/A</v>
      </c>
      <c r="F172" s="52" t="s">
        <v>114</v>
      </c>
      <c r="G172" s="173" t="e">
        <f>"("&amp;ROUND(E172/1000,3)&amp;" kWh)"</f>
        <v>#N/A</v>
      </c>
    </row>
    <row r="173" spans="1:7" ht="15" customHeight="1">
      <c r="A173" s="561"/>
      <c r="B173" s="319"/>
      <c r="C173" s="457"/>
      <c r="D173" s="133" t="s">
        <v>205</v>
      </c>
      <c r="E173" s="56" t="e">
        <f>E172/$C$9</f>
        <v>#N/A</v>
      </c>
      <c r="F173" s="52" t="s">
        <v>203</v>
      </c>
      <c r="G173" s="173" t="e">
        <f>"("&amp;ROUND(E173*100,3)&amp;" %)"</f>
        <v>#N/A</v>
      </c>
    </row>
    <row r="174" spans="1:7" ht="15" customHeight="1">
      <c r="A174" s="561"/>
      <c r="B174" s="319"/>
      <c r="C174" s="457"/>
      <c r="D174" s="133" t="s">
        <v>207</v>
      </c>
      <c r="E174" s="56" t="e">
        <f>IF(E173&lt;1,($E$11+$F$11*LOG($C$9/1000))+$D$15*($C$15-E166),IF(E173=1,($C$11+$D$11*LOG($C$9/1000))+0.1*(70-E166),0))</f>
        <v>#N/A</v>
      </c>
      <c r="F174" s="52" t="s">
        <v>203</v>
      </c>
      <c r="G174" s="173"/>
    </row>
    <row r="175" spans="1:7" ht="15" customHeight="1">
      <c r="A175" s="561"/>
      <c r="B175" s="319"/>
      <c r="C175" s="457"/>
      <c r="D175" s="133" t="s">
        <v>374</v>
      </c>
      <c r="E175" s="56" t="e">
        <f>IF(E173&lt;1,(100-E174)/E174*E172,(100-E174)/E174*$C$9)</f>
        <v>#N/A</v>
      </c>
      <c r="F175" s="52" t="s">
        <v>114</v>
      </c>
      <c r="G175" s="173" t="e">
        <f>"("&amp;ROUND(E175/1000,3)&amp;" kWh)"</f>
        <v>#N/A</v>
      </c>
    </row>
    <row r="176" spans="1:7" ht="15" customHeight="1">
      <c r="A176" s="561"/>
      <c r="B176" s="319"/>
      <c r="C176" s="457"/>
      <c r="D176" s="133" t="s">
        <v>208</v>
      </c>
      <c r="E176" s="109" t="e">
        <f>IF($B$17="Oui",E164,E164-$C$7*(E164-$C$6))</f>
        <v>#N/A</v>
      </c>
      <c r="F176" s="52" t="s">
        <v>7</v>
      </c>
      <c r="G176" s="212"/>
    </row>
    <row r="177" spans="1:7" ht="15" customHeight="1">
      <c r="A177" s="561"/>
      <c r="B177" s="319"/>
      <c r="C177" s="457"/>
      <c r="D177" s="133" t="s">
        <v>206</v>
      </c>
      <c r="E177" s="56" t="e">
        <f>IF(E166&lt;E176,0,((($C$9/1000)*($C$13+$D$13*LOG($C$9/1000))/100)*(((E166-E176)/30)^1.25)*1000+IF($D$17="Oui",35,0))*(1-E173))</f>
        <v>#N/A</v>
      </c>
      <c r="F177" s="52" t="s">
        <v>114</v>
      </c>
      <c r="G177" s="173" t="e">
        <f>"("&amp;ROUND(E177/1000,3)&amp;" kWh)"</f>
        <v>#N/A</v>
      </c>
    </row>
    <row r="178" spans="1:7" ht="15" customHeight="1">
      <c r="A178" s="561"/>
      <c r="B178" s="319"/>
      <c r="C178" s="457"/>
      <c r="D178" s="133" t="s">
        <v>210</v>
      </c>
      <c r="E178" s="58" t="e">
        <f>(E175+E177)*E165</f>
        <v>#N/A</v>
      </c>
      <c r="F178" s="176" t="s">
        <v>114</v>
      </c>
      <c r="G178" s="59" t="e">
        <f>"("&amp;ROUND(E178/1000,3)&amp;" kWh)"</f>
        <v>#N/A</v>
      </c>
    </row>
    <row r="179" spans="1:7" ht="15" customHeight="1" thickBot="1">
      <c r="A179" s="561"/>
      <c r="B179" s="319"/>
      <c r="C179" s="567"/>
      <c r="D179" s="213" t="s">
        <v>313</v>
      </c>
      <c r="E179" s="214" t="e">
        <f>IF(AND(E165&lt;&gt;0,E165&lt;&gt;"",E172&lt;&gt;0),(E172*E165)/((E172*E165)+E178),0)</f>
        <v>#N/A</v>
      </c>
      <c r="F179" s="215" t="s">
        <v>203</v>
      </c>
      <c r="G179" s="175" t="e">
        <f>"("&amp;ROUND(E179*100,3)&amp;" %)"</f>
        <v>#N/A</v>
      </c>
    </row>
    <row r="180" spans="1:7" ht="15" customHeight="1">
      <c r="A180" s="561"/>
      <c r="B180" s="319"/>
      <c r="C180" s="309" t="s">
        <v>154</v>
      </c>
      <c r="D180" s="131" t="s">
        <v>151</v>
      </c>
      <c r="E180" s="172">
        <f>'Logement (1)'!E32</f>
        <v>0</v>
      </c>
      <c r="F180" s="164" t="s">
        <v>7</v>
      </c>
      <c r="G180" s="379"/>
    </row>
    <row r="181" spans="1:7" ht="15" customHeight="1">
      <c r="A181" s="561"/>
      <c r="B181" s="319"/>
      <c r="C181" s="310"/>
      <c r="D181" s="52" t="s">
        <v>152</v>
      </c>
      <c r="E181" s="74">
        <f>24-E165</f>
        <v>24</v>
      </c>
      <c r="F181" s="52" t="s">
        <v>8</v>
      </c>
      <c r="G181" s="380"/>
    </row>
    <row r="182" spans="1:7" ht="15" customHeight="1">
      <c r="A182" s="561"/>
      <c r="B182" s="319"/>
      <c r="C182" s="310"/>
      <c r="D182" s="52" t="s">
        <v>200</v>
      </c>
      <c r="E182" s="109" t="e">
        <f>(1+IF($B$16="Radiateurs",0.9,1.5))/IF($B$16="Radiateurs",0.9,1.5)*E180-$C$6/IF($B$16="Radiateurs",0.9,1.5)</f>
        <v>#N/A</v>
      </c>
      <c r="F182" s="52" t="s">
        <v>7</v>
      </c>
      <c r="G182" s="380"/>
    </row>
    <row r="183" spans="1:7" ht="15" customHeight="1">
      <c r="A183" s="561"/>
      <c r="B183" s="319"/>
      <c r="C183" s="310"/>
      <c r="D183" s="52" t="s">
        <v>204</v>
      </c>
      <c r="E183" s="52" t="e">
        <f>IF(E180&gt;$C$6,$C$5*(E180-$C$6),0)</f>
        <v>#N/A</v>
      </c>
      <c r="F183" s="52" t="s">
        <v>114</v>
      </c>
      <c r="G183" s="173" t="e">
        <f>"("&amp;ROUND(E183/1000,3)&amp;" kWh)"</f>
        <v>#N/A</v>
      </c>
    </row>
    <row r="184" spans="1:7" ht="15" customHeight="1">
      <c r="A184" s="561"/>
      <c r="B184" s="319"/>
      <c r="C184" s="310"/>
      <c r="D184" s="52" t="s">
        <v>310</v>
      </c>
      <c r="E184" s="52" t="e">
        <f>E183*E181</f>
        <v>#N/A</v>
      </c>
      <c r="F184" s="52" t="s">
        <v>114</v>
      </c>
      <c r="G184" s="173" t="e">
        <f>"("&amp;ROUND(E184/1000,3)&amp;" kWh)"</f>
        <v>#N/A</v>
      </c>
    </row>
    <row r="185" spans="1:7" ht="15" customHeight="1">
      <c r="A185" s="561"/>
      <c r="B185" s="319"/>
      <c r="C185" s="310"/>
      <c r="D185" s="52" t="s">
        <v>311</v>
      </c>
      <c r="E185" s="56" t="e">
        <f>'Besoins en chauffage (8)'!E76/E181</f>
        <v>#N/A</v>
      </c>
      <c r="F185" s="52" t="s">
        <v>114</v>
      </c>
      <c r="G185" s="173" t="e">
        <f>"("&amp;ROUND(E185/1000,3)&amp;" kWh)"</f>
        <v>#N/A</v>
      </c>
    </row>
    <row r="186" spans="1:7" ht="15" customHeight="1">
      <c r="A186" s="561"/>
      <c r="B186" s="319"/>
      <c r="C186" s="310"/>
      <c r="D186" s="52" t="s">
        <v>169</v>
      </c>
      <c r="E186" s="56">
        <f>'Besoins en chauffage (8)'!E77</f>
        <v>0</v>
      </c>
      <c r="F186" s="54" t="s">
        <v>4</v>
      </c>
      <c r="G186" s="173"/>
    </row>
    <row r="187" spans="1:7" ht="15" customHeight="1">
      <c r="A187" s="561"/>
      <c r="B187" s="319"/>
      <c r="C187" s="310"/>
      <c r="D187" s="52" t="s">
        <v>373</v>
      </c>
      <c r="E187" s="56" t="e">
        <f>'Apports récupérables CH (6)'!E144</f>
        <v>#N/A</v>
      </c>
      <c r="F187" s="52" t="s">
        <v>114</v>
      </c>
      <c r="G187" s="173" t="e">
        <f>"("&amp;ROUND(E187/1000,3)&amp;" kWh)"</f>
        <v>#N/A</v>
      </c>
    </row>
    <row r="188" spans="1:7" ht="15" customHeight="1">
      <c r="A188" s="561"/>
      <c r="B188" s="319"/>
      <c r="C188" s="310"/>
      <c r="D188" s="52" t="s">
        <v>312</v>
      </c>
      <c r="E188" s="56" t="e">
        <f>E183+E187-E185*E186</f>
        <v>#N/A</v>
      </c>
      <c r="F188" s="52" t="s">
        <v>114</v>
      </c>
      <c r="G188" s="173" t="e">
        <f>"("&amp;ROUND(E188/1000,3)&amp;" kWh)"</f>
        <v>#N/A</v>
      </c>
    </row>
    <row r="189" spans="1:7" ht="15" customHeight="1">
      <c r="A189" s="561"/>
      <c r="B189" s="319"/>
      <c r="C189" s="310"/>
      <c r="D189" s="133" t="s">
        <v>205</v>
      </c>
      <c r="E189" s="56" t="e">
        <f>E188/$C$9</f>
        <v>#N/A</v>
      </c>
      <c r="F189" s="52" t="s">
        <v>203</v>
      </c>
      <c r="G189" s="173" t="e">
        <f>"("&amp;ROUND(E189*100,3)&amp;" %)"</f>
        <v>#N/A</v>
      </c>
    </row>
    <row r="190" spans="1:7" ht="15" customHeight="1">
      <c r="A190" s="561"/>
      <c r="B190" s="319"/>
      <c r="C190" s="310"/>
      <c r="D190" s="133" t="s">
        <v>207</v>
      </c>
      <c r="E190" s="56" t="e">
        <f>IF(E189&lt;1,($E$11+$F$11*LOG($C$9/1000))+$D$15*($C$15-E182),IF(E189=1,($C$11+$D$11*LOG($C$9/1000))+0.1*(70-E182),0))</f>
        <v>#N/A</v>
      </c>
      <c r="F190" s="52" t="s">
        <v>203</v>
      </c>
      <c r="G190" s="173"/>
    </row>
    <row r="191" spans="1:7" ht="15" customHeight="1">
      <c r="A191" s="561"/>
      <c r="B191" s="319"/>
      <c r="C191" s="310"/>
      <c r="D191" s="133" t="s">
        <v>374</v>
      </c>
      <c r="E191" s="56" t="e">
        <f>IF(E189&lt;1,(100-E190)/E190*E188,(100-E190)/E190*$C$9)</f>
        <v>#N/A</v>
      </c>
      <c r="F191" s="52" t="s">
        <v>114</v>
      </c>
      <c r="G191" s="173" t="e">
        <f>"("&amp;ROUND(E191/1000,3)&amp;" kWh)"</f>
        <v>#N/A</v>
      </c>
    </row>
    <row r="192" spans="1:7" ht="15" customHeight="1">
      <c r="A192" s="561"/>
      <c r="B192" s="319"/>
      <c r="C192" s="310"/>
      <c r="D192" s="133" t="s">
        <v>208</v>
      </c>
      <c r="E192" s="109" t="e">
        <f>IF($B$17="Oui",E180,E180-$C$7*(E180-$C$6))</f>
        <v>#N/A</v>
      </c>
      <c r="F192" s="52" t="s">
        <v>7</v>
      </c>
      <c r="G192" s="173"/>
    </row>
    <row r="193" spans="1:7" ht="15" customHeight="1">
      <c r="A193" s="561"/>
      <c r="B193" s="319"/>
      <c r="C193" s="310"/>
      <c r="D193" s="133" t="s">
        <v>206</v>
      </c>
      <c r="E193" s="56" t="e">
        <f>IF(E182&lt;E192,0,((($C$9/1000)*($C$13+$D$13*LOG($C$9/1000))/100)*(((E182-E192)/30)^1.25)*1000+IF($D$17="Oui",35,0))*(1-E189))</f>
        <v>#N/A</v>
      </c>
      <c r="F193" s="52" t="s">
        <v>114</v>
      </c>
      <c r="G193" s="173" t="e">
        <f>"("&amp;ROUND(E193/1000,3)&amp;" kWh)"</f>
        <v>#N/A</v>
      </c>
    </row>
    <row r="194" spans="1:7" ht="15" customHeight="1">
      <c r="A194" s="561"/>
      <c r="B194" s="319"/>
      <c r="C194" s="310"/>
      <c r="D194" s="133" t="s">
        <v>210</v>
      </c>
      <c r="E194" s="58" t="e">
        <f>(E191+E193)*E181</f>
        <v>#N/A</v>
      </c>
      <c r="F194" s="176" t="s">
        <v>114</v>
      </c>
      <c r="G194" s="59" t="e">
        <f>"("&amp;ROUND(E194/1000,3)&amp;" kWh)"</f>
        <v>#N/A</v>
      </c>
    </row>
    <row r="195" spans="1:7" ht="15" customHeight="1" thickBot="1">
      <c r="A195" s="561"/>
      <c r="B195" s="277"/>
      <c r="C195" s="304"/>
      <c r="D195" s="213" t="s">
        <v>313</v>
      </c>
      <c r="E195" s="214" t="e">
        <f>IF(AND(E181&lt;&gt;0,E181&lt;&gt;"",E188&lt;&gt;0),(E188*E181)/((E188*E181)+E194),0)</f>
        <v>#N/A</v>
      </c>
      <c r="F195" s="174" t="s">
        <v>203</v>
      </c>
      <c r="G195" s="175" t="e">
        <f>"("&amp;ROUND(E195*100,3)&amp;" %)"</f>
        <v>#N/A</v>
      </c>
    </row>
    <row r="196" spans="1:7" ht="15" customHeight="1">
      <c r="A196" s="457"/>
      <c r="B196" s="442" t="s">
        <v>213</v>
      </c>
      <c r="C196" s="423"/>
      <c r="D196" s="416"/>
      <c r="E196" s="216" t="e">
        <f>E168+E184</f>
        <v>#N/A</v>
      </c>
      <c r="F196" s="176" t="s">
        <v>122</v>
      </c>
      <c r="G196" s="59" t="e">
        <f>"("&amp;ROUND(E196/1000,3)&amp;" kWh/j)"</f>
        <v>#N/A</v>
      </c>
    </row>
    <row r="197" spans="1:7" ht="15" customHeight="1">
      <c r="A197" s="457"/>
      <c r="B197" s="297" t="s">
        <v>217</v>
      </c>
      <c r="C197" s="275"/>
      <c r="D197" s="276"/>
      <c r="E197" s="216" t="e">
        <f>(E172*E165)+(E188*E181)</f>
        <v>#N/A</v>
      </c>
      <c r="F197" s="176" t="s">
        <v>122</v>
      </c>
      <c r="G197" s="59" t="e">
        <f>"("&amp;ROUND(E197/1000,3)&amp;" kWh/j)"</f>
        <v>#N/A</v>
      </c>
    </row>
    <row r="198" spans="1:7" ht="15" customHeight="1">
      <c r="A198" s="457"/>
      <c r="B198" s="297" t="s">
        <v>218</v>
      </c>
      <c r="C198" s="275"/>
      <c r="D198" s="276"/>
      <c r="E198" s="58" t="e">
        <f>E178+E194</f>
        <v>#N/A</v>
      </c>
      <c r="F198" s="176" t="s">
        <v>122</v>
      </c>
      <c r="G198" s="59" t="e">
        <f>"("&amp;ROUND(E198/1000,3)&amp;" kWh/j)"</f>
        <v>#N/A</v>
      </c>
    </row>
    <row r="199" spans="1:7" ht="15" customHeight="1" thickBot="1">
      <c r="A199" s="567"/>
      <c r="B199" s="575" t="s">
        <v>212</v>
      </c>
      <c r="C199" s="468"/>
      <c r="D199" s="469"/>
      <c r="E199" s="76" t="e">
        <f>IF(E198&lt;&gt;0,E197/(E197+E198),0)</f>
        <v>#N/A</v>
      </c>
      <c r="F199" s="174" t="s">
        <v>203</v>
      </c>
      <c r="G199" s="175" t="e">
        <f>"("&amp;ROUND(E199*100,3)&amp;" %)"</f>
        <v>#N/A</v>
      </c>
    </row>
    <row r="200" spans="1:7" ht="15" customHeight="1">
      <c r="A200" s="560" t="s">
        <v>160</v>
      </c>
      <c r="B200" s="318" t="s">
        <v>155</v>
      </c>
      <c r="C200" s="456" t="s">
        <v>150</v>
      </c>
      <c r="D200" s="131" t="s">
        <v>151</v>
      </c>
      <c r="E200" s="172">
        <f>'Logement (1)'!E34</f>
        <v>0</v>
      </c>
      <c r="F200" s="164" t="s">
        <v>7</v>
      </c>
      <c r="G200" s="470"/>
    </row>
    <row r="201" spans="1:7" ht="15" customHeight="1">
      <c r="A201" s="561"/>
      <c r="B201" s="319"/>
      <c r="C201" s="457"/>
      <c r="D201" s="52" t="s">
        <v>152</v>
      </c>
      <c r="E201" s="74">
        <f>'Logement (1)'!E35</f>
        <v>0</v>
      </c>
      <c r="F201" s="52" t="s">
        <v>8</v>
      </c>
      <c r="G201" s="471"/>
    </row>
    <row r="202" spans="1:7" ht="15" customHeight="1">
      <c r="A202" s="561"/>
      <c r="B202" s="319"/>
      <c r="C202" s="457"/>
      <c r="D202" s="52" t="s">
        <v>200</v>
      </c>
      <c r="E202" s="109" t="e">
        <f>(1+IF($B$16="Radiateurs",0.7,1.3))/IF($B$16="Radiateurs",0.7,1.3)*E200-$C$6/IF($B$16="Radiateurs",0.7,1.3)</f>
        <v>#N/A</v>
      </c>
      <c r="F202" s="52" t="s">
        <v>7</v>
      </c>
      <c r="G202" s="472"/>
    </row>
    <row r="203" spans="1:7" ht="15" customHeight="1">
      <c r="A203" s="561"/>
      <c r="B203" s="319"/>
      <c r="C203" s="457"/>
      <c r="D203" s="52" t="s">
        <v>204</v>
      </c>
      <c r="E203" s="52" t="e">
        <f>IF(E200&gt;$C$6,$C$5*(E200-$C$6),0)</f>
        <v>#N/A</v>
      </c>
      <c r="F203" s="52" t="s">
        <v>114</v>
      </c>
      <c r="G203" s="173" t="e">
        <f>"("&amp;ROUND(E203/1000,3)&amp;" kWh)"</f>
        <v>#N/A</v>
      </c>
    </row>
    <row r="204" spans="1:7" ht="15" customHeight="1">
      <c r="A204" s="561"/>
      <c r="B204" s="319"/>
      <c r="C204" s="457"/>
      <c r="D204" s="52" t="s">
        <v>310</v>
      </c>
      <c r="E204" s="52" t="e">
        <f>E203*E201</f>
        <v>#N/A</v>
      </c>
      <c r="F204" s="52" t="s">
        <v>114</v>
      </c>
      <c r="G204" s="173" t="e">
        <f>"("&amp;ROUND(E204/1000,3)&amp;" kWh)"</f>
        <v>#N/A</v>
      </c>
    </row>
    <row r="205" spans="1:7" ht="15" customHeight="1">
      <c r="A205" s="561"/>
      <c r="B205" s="319"/>
      <c r="C205" s="457"/>
      <c r="D205" s="52" t="s">
        <v>311</v>
      </c>
      <c r="E205" s="56" t="e">
        <f>'Besoins en chauffage (8)'!E84/E201</f>
        <v>#N/A</v>
      </c>
      <c r="F205" s="52" t="s">
        <v>114</v>
      </c>
      <c r="G205" s="173" t="e">
        <f>"("&amp;ROUND(E205/1000,3)&amp;" kWh)"</f>
        <v>#N/A</v>
      </c>
    </row>
    <row r="206" spans="1:7" ht="15" customHeight="1">
      <c r="A206" s="561"/>
      <c r="B206" s="319"/>
      <c r="C206" s="457"/>
      <c r="D206" s="52" t="s">
        <v>169</v>
      </c>
      <c r="E206" s="56">
        <f>'Besoins en chauffage (8)'!E85</f>
        <v>0</v>
      </c>
      <c r="F206" s="54" t="s">
        <v>4</v>
      </c>
      <c r="G206" s="173"/>
    </row>
    <row r="207" spans="1:7" ht="15" customHeight="1">
      <c r="A207" s="561"/>
      <c r="B207" s="319"/>
      <c r="C207" s="457"/>
      <c r="D207" s="52" t="s">
        <v>373</v>
      </c>
      <c r="E207" s="56" t="e">
        <f>'Apports récupérables CH (6)'!E156</f>
        <v>#N/A</v>
      </c>
      <c r="F207" s="52" t="s">
        <v>114</v>
      </c>
      <c r="G207" s="173" t="e">
        <f>"("&amp;ROUND(E207/1000,3)&amp;" kWh)"</f>
        <v>#N/A</v>
      </c>
    </row>
    <row r="208" spans="1:7" ht="15" customHeight="1">
      <c r="A208" s="561"/>
      <c r="B208" s="319"/>
      <c r="C208" s="457"/>
      <c r="D208" s="52" t="s">
        <v>312</v>
      </c>
      <c r="E208" s="56" t="e">
        <f>E203+E207-E205*E206</f>
        <v>#N/A</v>
      </c>
      <c r="F208" s="52" t="s">
        <v>114</v>
      </c>
      <c r="G208" s="173" t="e">
        <f>"("&amp;ROUND(E208/1000,3)&amp;" kWh)"</f>
        <v>#N/A</v>
      </c>
    </row>
    <row r="209" spans="1:7" ht="15" customHeight="1">
      <c r="A209" s="561"/>
      <c r="B209" s="319"/>
      <c r="C209" s="457"/>
      <c r="D209" s="133" t="s">
        <v>205</v>
      </c>
      <c r="E209" s="56" t="e">
        <f>E208/$C$9</f>
        <v>#N/A</v>
      </c>
      <c r="F209" s="52" t="s">
        <v>203</v>
      </c>
      <c r="G209" s="173" t="e">
        <f>"("&amp;ROUND(E209*100,3)&amp;" %)"</f>
        <v>#N/A</v>
      </c>
    </row>
    <row r="210" spans="1:7" ht="15" customHeight="1">
      <c r="A210" s="561"/>
      <c r="B210" s="319"/>
      <c r="C210" s="457"/>
      <c r="D210" s="133" t="s">
        <v>207</v>
      </c>
      <c r="E210" s="56" t="e">
        <f>IF(E209&lt;1,($E$11+$F$11*LOG($C$9/1000))+$D$15*($C$15-E202),IF(E209=1,($C$11+$D$11*LOG($C$9/1000))+0.1*(70-E202),0))</f>
        <v>#N/A</v>
      </c>
      <c r="F210" s="52" t="s">
        <v>203</v>
      </c>
      <c r="G210" s="173"/>
    </row>
    <row r="211" spans="1:7" ht="15" customHeight="1">
      <c r="A211" s="561"/>
      <c r="B211" s="319"/>
      <c r="C211" s="457"/>
      <c r="D211" s="133" t="s">
        <v>374</v>
      </c>
      <c r="E211" s="56" t="e">
        <f>IF(E209&lt;1,(100-E210)/E210*E208,(100-E210)/E210*$C$9)</f>
        <v>#N/A</v>
      </c>
      <c r="F211" s="52" t="s">
        <v>114</v>
      </c>
      <c r="G211" s="173" t="e">
        <f>"("&amp;ROUND(E211/1000,3)&amp;" kWh)"</f>
        <v>#N/A</v>
      </c>
    </row>
    <row r="212" spans="1:7" ht="15" customHeight="1">
      <c r="A212" s="561"/>
      <c r="B212" s="319"/>
      <c r="C212" s="457"/>
      <c r="D212" s="133" t="s">
        <v>208</v>
      </c>
      <c r="E212" s="109" t="e">
        <f>IF($B$17="Oui",E200,E200-$C$7*(E200-$C$6))</f>
        <v>#N/A</v>
      </c>
      <c r="F212" s="52" t="s">
        <v>7</v>
      </c>
      <c r="G212" s="212"/>
    </row>
    <row r="213" spans="1:7" ht="15" customHeight="1">
      <c r="A213" s="561"/>
      <c r="B213" s="319"/>
      <c r="C213" s="457"/>
      <c r="D213" s="133" t="s">
        <v>206</v>
      </c>
      <c r="E213" s="56" t="e">
        <f>IF(E202&lt;E212,0,((($C$9/1000)*($C$13+$D$13*LOG($C$9/1000))/100)*(((E202-E212)/30)^1.25)*1000+IF($D$17="Oui",35,0))*(1-E209))</f>
        <v>#N/A</v>
      </c>
      <c r="F213" s="52" t="s">
        <v>114</v>
      </c>
      <c r="G213" s="173" t="e">
        <f>"("&amp;ROUND(E213/1000,3)&amp;" kWh)"</f>
        <v>#N/A</v>
      </c>
    </row>
    <row r="214" spans="1:7" ht="15" customHeight="1">
      <c r="A214" s="561"/>
      <c r="B214" s="319"/>
      <c r="C214" s="457"/>
      <c r="D214" s="133" t="s">
        <v>210</v>
      </c>
      <c r="E214" s="58" t="e">
        <f>(E211+E213)*E201</f>
        <v>#N/A</v>
      </c>
      <c r="F214" s="57" t="s">
        <v>114</v>
      </c>
      <c r="G214" s="59" t="e">
        <f>"("&amp;ROUND(E214/1000,3)&amp;" kWh)"</f>
        <v>#N/A</v>
      </c>
    </row>
    <row r="215" spans="1:7" ht="15" customHeight="1" thickBot="1">
      <c r="A215" s="561"/>
      <c r="B215" s="319"/>
      <c r="C215" s="567"/>
      <c r="D215" s="213" t="s">
        <v>313</v>
      </c>
      <c r="E215" s="214" t="e">
        <f>IF(AND(E201&lt;&gt;0,E201&lt;&gt;"",E208&lt;&gt;0),(E208*E201)/((E208*E201)+E214),0)</f>
        <v>#N/A</v>
      </c>
      <c r="F215" s="215" t="s">
        <v>203</v>
      </c>
      <c r="G215" s="175" t="e">
        <f>"("&amp;ROUND(E215*100,3)&amp;" %)"</f>
        <v>#N/A</v>
      </c>
    </row>
    <row r="216" spans="1:7" ht="15" customHeight="1">
      <c r="A216" s="561"/>
      <c r="B216" s="319"/>
      <c r="C216" s="309" t="s">
        <v>154</v>
      </c>
      <c r="D216" s="131" t="s">
        <v>151</v>
      </c>
      <c r="E216" s="172">
        <f>'Logement (1)'!E36</f>
        <v>0</v>
      </c>
      <c r="F216" s="164" t="s">
        <v>7</v>
      </c>
      <c r="G216" s="379"/>
    </row>
    <row r="217" spans="1:7" ht="15" customHeight="1">
      <c r="A217" s="561"/>
      <c r="B217" s="319"/>
      <c r="C217" s="310"/>
      <c r="D217" s="52" t="s">
        <v>152</v>
      </c>
      <c r="E217" s="74">
        <f>24-E201</f>
        <v>24</v>
      </c>
      <c r="F217" s="52" t="s">
        <v>8</v>
      </c>
      <c r="G217" s="380"/>
    </row>
    <row r="218" spans="1:7" ht="15" customHeight="1">
      <c r="A218" s="561"/>
      <c r="B218" s="319"/>
      <c r="C218" s="310"/>
      <c r="D218" s="52" t="s">
        <v>200</v>
      </c>
      <c r="E218" s="109" t="e">
        <f>(1+IF($B$16="Radiateurs",0.9,1.5))/IF($B$16="Radiateurs",0.9,1.5)*E216-$C$6/IF($B$16="Radiateurs",0.9,1.5)</f>
        <v>#N/A</v>
      </c>
      <c r="F218" s="52" t="s">
        <v>7</v>
      </c>
      <c r="G218" s="380"/>
    </row>
    <row r="219" spans="1:7" ht="15" customHeight="1">
      <c r="A219" s="561"/>
      <c r="B219" s="319"/>
      <c r="C219" s="310"/>
      <c r="D219" s="52" t="s">
        <v>204</v>
      </c>
      <c r="E219" s="52" t="e">
        <f>IF(E216&gt;$C$6,$C$5*(E216-$C$6),0)</f>
        <v>#N/A</v>
      </c>
      <c r="F219" s="52" t="s">
        <v>114</v>
      </c>
      <c r="G219" s="173" t="e">
        <f>"("&amp;ROUND(E219/1000,3)&amp;" kWh)"</f>
        <v>#N/A</v>
      </c>
    </row>
    <row r="220" spans="1:7" ht="15" customHeight="1">
      <c r="A220" s="561"/>
      <c r="B220" s="319"/>
      <c r="C220" s="310"/>
      <c r="D220" s="52" t="s">
        <v>310</v>
      </c>
      <c r="E220" s="52" t="e">
        <f>E219*E217</f>
        <v>#N/A</v>
      </c>
      <c r="F220" s="52" t="s">
        <v>114</v>
      </c>
      <c r="G220" s="173" t="e">
        <f>"("&amp;ROUND(E220/1000,3)&amp;" kWh)"</f>
        <v>#N/A</v>
      </c>
    </row>
    <row r="221" spans="1:7" ht="15" customHeight="1">
      <c r="A221" s="561"/>
      <c r="B221" s="319"/>
      <c r="C221" s="310"/>
      <c r="D221" s="52" t="s">
        <v>311</v>
      </c>
      <c r="E221" s="56" t="e">
        <f>'Besoins en chauffage (8)'!E90/E217</f>
        <v>#N/A</v>
      </c>
      <c r="F221" s="52" t="s">
        <v>114</v>
      </c>
      <c r="G221" s="173" t="e">
        <f>"("&amp;ROUND(E221/1000,3)&amp;" kWh)"</f>
        <v>#N/A</v>
      </c>
    </row>
    <row r="222" spans="1:7" ht="15" customHeight="1">
      <c r="A222" s="561"/>
      <c r="B222" s="319"/>
      <c r="C222" s="310"/>
      <c r="D222" s="52" t="s">
        <v>169</v>
      </c>
      <c r="E222" s="56">
        <f>'Besoins en chauffage (8)'!E91</f>
        <v>0</v>
      </c>
      <c r="F222" s="54" t="s">
        <v>4</v>
      </c>
      <c r="G222" s="173"/>
    </row>
    <row r="223" spans="1:7" ht="15" customHeight="1">
      <c r="A223" s="561"/>
      <c r="B223" s="319"/>
      <c r="C223" s="310"/>
      <c r="D223" s="52" t="s">
        <v>373</v>
      </c>
      <c r="E223" s="56" t="e">
        <f>'Apports récupérables CH (6)'!E166</f>
        <v>#N/A</v>
      </c>
      <c r="F223" s="52" t="s">
        <v>114</v>
      </c>
      <c r="G223" s="173" t="e">
        <f>"("&amp;ROUND(E223/1000,3)&amp;" kWh)"</f>
        <v>#N/A</v>
      </c>
    </row>
    <row r="224" spans="1:7" ht="15" customHeight="1">
      <c r="A224" s="561"/>
      <c r="B224" s="319"/>
      <c r="C224" s="310"/>
      <c r="D224" s="52" t="s">
        <v>312</v>
      </c>
      <c r="E224" s="56" t="e">
        <f>E219+E223-E221*E222</f>
        <v>#N/A</v>
      </c>
      <c r="F224" s="52" t="s">
        <v>114</v>
      </c>
      <c r="G224" s="173" t="e">
        <f>"("&amp;ROUND(E224/1000,3)&amp;" kWh)"</f>
        <v>#N/A</v>
      </c>
    </row>
    <row r="225" spans="1:7" ht="15" customHeight="1">
      <c r="A225" s="561"/>
      <c r="B225" s="319"/>
      <c r="C225" s="310"/>
      <c r="D225" s="133" t="s">
        <v>205</v>
      </c>
      <c r="E225" s="56" t="e">
        <f>E224/$C$9</f>
        <v>#N/A</v>
      </c>
      <c r="F225" s="52" t="s">
        <v>203</v>
      </c>
      <c r="G225" s="173" t="e">
        <f>"("&amp;ROUND(E225*100,3)&amp;" %)"</f>
        <v>#N/A</v>
      </c>
    </row>
    <row r="226" spans="1:7" ht="15" customHeight="1">
      <c r="A226" s="561"/>
      <c r="B226" s="319"/>
      <c r="C226" s="310"/>
      <c r="D226" s="133" t="s">
        <v>207</v>
      </c>
      <c r="E226" s="56" t="e">
        <f>IF(E225&lt;1,($E$11+$F$11*LOG($C$9/1000))+$D$15*($C$15-E218),IF(E225=1,($C$11+$D$11*LOG($C$9/1000))+0.1*(70-E218),0))</f>
        <v>#N/A</v>
      </c>
      <c r="F226" s="52" t="s">
        <v>203</v>
      </c>
      <c r="G226" s="173"/>
    </row>
    <row r="227" spans="1:7" ht="15" customHeight="1">
      <c r="A227" s="561"/>
      <c r="B227" s="319"/>
      <c r="C227" s="310"/>
      <c r="D227" s="133" t="s">
        <v>374</v>
      </c>
      <c r="E227" s="56" t="e">
        <f>IF(E225&lt;1,(100-E226)/E226*E224,(100-E226)/E226*$C$9)</f>
        <v>#N/A</v>
      </c>
      <c r="F227" s="52" t="s">
        <v>114</v>
      </c>
      <c r="G227" s="173" t="e">
        <f>"("&amp;ROUND(E227/1000,3)&amp;" kWh)"</f>
        <v>#N/A</v>
      </c>
    </row>
    <row r="228" spans="1:7" ht="15" customHeight="1">
      <c r="A228" s="561"/>
      <c r="B228" s="319"/>
      <c r="C228" s="310"/>
      <c r="D228" s="133" t="s">
        <v>208</v>
      </c>
      <c r="E228" s="109" t="e">
        <f>IF($B$17="Oui",E216,E216-$C$7*(E216-$C$6))</f>
        <v>#N/A</v>
      </c>
      <c r="F228" s="52" t="s">
        <v>7</v>
      </c>
      <c r="G228" s="173"/>
    </row>
    <row r="229" spans="1:7" ht="15" customHeight="1">
      <c r="A229" s="561"/>
      <c r="B229" s="319"/>
      <c r="C229" s="310"/>
      <c r="D229" s="133" t="s">
        <v>206</v>
      </c>
      <c r="E229" s="56" t="e">
        <f>IF(E218&lt;E228,0,((($C$9/1000)*($C$13+$D$13*LOG($C$9/1000))/100)*(((E218-E228)/30)^1.25)*1000+IF($D$17="Oui",35,0))*(1-E225))</f>
        <v>#N/A</v>
      </c>
      <c r="F229" s="52" t="s">
        <v>114</v>
      </c>
      <c r="G229" s="173" t="e">
        <f>"("&amp;ROUND(E229/1000,3)&amp;" kWh)"</f>
        <v>#N/A</v>
      </c>
    </row>
    <row r="230" spans="1:7" ht="15" customHeight="1">
      <c r="A230" s="561"/>
      <c r="B230" s="319"/>
      <c r="C230" s="310"/>
      <c r="D230" s="133" t="s">
        <v>210</v>
      </c>
      <c r="E230" s="58" t="e">
        <f>(E227+E229)*E217</f>
        <v>#N/A</v>
      </c>
      <c r="F230" s="57" t="s">
        <v>114</v>
      </c>
      <c r="G230" s="59" t="e">
        <f>"("&amp;ROUND(E230/1000,3)&amp;" kWh)"</f>
        <v>#N/A</v>
      </c>
    </row>
    <row r="231" spans="1:7" ht="15" customHeight="1" thickBot="1">
      <c r="A231" s="561"/>
      <c r="B231" s="277"/>
      <c r="C231" s="304"/>
      <c r="D231" s="213" t="s">
        <v>313</v>
      </c>
      <c r="E231" s="214" t="e">
        <f>IF(AND(E217&lt;&gt;0,E217&lt;&gt;"",E224&lt;&gt;0),(E224*E217)/((E224*E217)+E230),0)</f>
        <v>#N/A</v>
      </c>
      <c r="F231" s="174" t="s">
        <v>203</v>
      </c>
      <c r="G231" s="175" t="e">
        <f>"("&amp;ROUND(E231*100,3)&amp;" %)"</f>
        <v>#N/A</v>
      </c>
    </row>
    <row r="232" spans="1:7" ht="15" customHeight="1">
      <c r="A232" s="457"/>
      <c r="B232" s="442" t="s">
        <v>213</v>
      </c>
      <c r="C232" s="423"/>
      <c r="D232" s="416"/>
      <c r="E232" s="216" t="e">
        <f>E204+E220</f>
        <v>#N/A</v>
      </c>
      <c r="F232" s="176" t="s">
        <v>122</v>
      </c>
      <c r="G232" s="59" t="e">
        <f>"("&amp;ROUND(E232/1000,3)&amp;" kWh/j)"</f>
        <v>#N/A</v>
      </c>
    </row>
    <row r="233" spans="1:7" ht="15" customHeight="1">
      <c r="A233" s="457"/>
      <c r="B233" s="297" t="s">
        <v>217</v>
      </c>
      <c r="C233" s="275"/>
      <c r="D233" s="276"/>
      <c r="E233" s="216" t="e">
        <f>(E208*E201)+(E224*E217)</f>
        <v>#N/A</v>
      </c>
      <c r="F233" s="176" t="s">
        <v>122</v>
      </c>
      <c r="G233" s="59" t="e">
        <f>"("&amp;ROUND(E233/1000,3)&amp;" kWh/j)"</f>
        <v>#N/A</v>
      </c>
    </row>
    <row r="234" spans="1:7" ht="15" customHeight="1">
      <c r="A234" s="457"/>
      <c r="B234" s="297" t="s">
        <v>218</v>
      </c>
      <c r="C234" s="275"/>
      <c r="D234" s="276"/>
      <c r="E234" s="58" t="e">
        <f>E214+E230</f>
        <v>#N/A</v>
      </c>
      <c r="F234" s="176" t="s">
        <v>122</v>
      </c>
      <c r="G234" s="59" t="e">
        <f>"("&amp;ROUND(E234/1000,3)&amp;" kWh/j)"</f>
        <v>#N/A</v>
      </c>
    </row>
    <row r="235" spans="1:7" ht="15" customHeight="1" thickBot="1">
      <c r="A235" s="567"/>
      <c r="B235" s="575" t="s">
        <v>212</v>
      </c>
      <c r="C235" s="468"/>
      <c r="D235" s="469"/>
      <c r="E235" s="76" t="e">
        <f>IF(E234&lt;&gt;0,E233/(E233+E234),0)</f>
        <v>#N/A</v>
      </c>
      <c r="F235" s="174" t="s">
        <v>203</v>
      </c>
      <c r="G235" s="175" t="e">
        <f>"("&amp;ROUND(E235*100,3)&amp;" %)"</f>
        <v>#N/A</v>
      </c>
    </row>
    <row r="236" spans="1:7" ht="15" customHeight="1">
      <c r="A236" s="560" t="s">
        <v>161</v>
      </c>
      <c r="B236" s="318" t="s">
        <v>155</v>
      </c>
      <c r="C236" s="456" t="s">
        <v>150</v>
      </c>
      <c r="D236" s="131" t="s">
        <v>151</v>
      </c>
      <c r="E236" s="172">
        <f>'Logement (1)'!E38</f>
        <v>0</v>
      </c>
      <c r="F236" s="164" t="s">
        <v>7</v>
      </c>
      <c r="G236" s="470"/>
    </row>
    <row r="237" spans="1:7" ht="15" customHeight="1">
      <c r="A237" s="561"/>
      <c r="B237" s="319"/>
      <c r="C237" s="457"/>
      <c r="D237" s="52" t="s">
        <v>152</v>
      </c>
      <c r="E237" s="74">
        <f>'Logement (1)'!E39</f>
        <v>0</v>
      </c>
      <c r="F237" s="52" t="s">
        <v>8</v>
      </c>
      <c r="G237" s="471"/>
    </row>
    <row r="238" spans="1:7" ht="15" customHeight="1">
      <c r="A238" s="561"/>
      <c r="B238" s="319"/>
      <c r="C238" s="457"/>
      <c r="D238" s="52" t="s">
        <v>200</v>
      </c>
      <c r="E238" s="109" t="e">
        <f>(1+IF($B$16="Radiateurs",0.7,1.3))/IF($B$16="Radiateurs",0.7,1.3)*E236-$C$6/IF($B$16="Radiateurs",0.7,1.3)</f>
        <v>#N/A</v>
      </c>
      <c r="F238" s="52" t="s">
        <v>7</v>
      </c>
      <c r="G238" s="472"/>
    </row>
    <row r="239" spans="1:7" ht="15" customHeight="1">
      <c r="A239" s="561"/>
      <c r="B239" s="319"/>
      <c r="C239" s="457"/>
      <c r="D239" s="52" t="s">
        <v>204</v>
      </c>
      <c r="E239" s="52" t="e">
        <f>IF(E236&gt;$C$6,$C$5*(E236-$C$6),0)</f>
        <v>#N/A</v>
      </c>
      <c r="F239" s="52" t="s">
        <v>114</v>
      </c>
      <c r="G239" s="173" t="e">
        <f>"("&amp;ROUND(E239/1000,3)&amp;" kWh)"</f>
        <v>#N/A</v>
      </c>
    </row>
    <row r="240" spans="1:7" ht="15" customHeight="1">
      <c r="A240" s="561"/>
      <c r="B240" s="319"/>
      <c r="C240" s="457"/>
      <c r="D240" s="52" t="s">
        <v>310</v>
      </c>
      <c r="E240" s="52" t="e">
        <f>E239*E237</f>
        <v>#N/A</v>
      </c>
      <c r="F240" s="52" t="s">
        <v>114</v>
      </c>
      <c r="G240" s="173" t="e">
        <f>"("&amp;ROUND(E240/1000,3)&amp;" kWh)"</f>
        <v>#N/A</v>
      </c>
    </row>
    <row r="241" spans="1:7" ht="15" customHeight="1">
      <c r="A241" s="561"/>
      <c r="B241" s="319"/>
      <c r="C241" s="457"/>
      <c r="D241" s="52" t="s">
        <v>311</v>
      </c>
      <c r="E241" s="56" t="e">
        <f>'Besoins en chauffage (8)'!E98/E237</f>
        <v>#N/A</v>
      </c>
      <c r="F241" s="52" t="s">
        <v>114</v>
      </c>
      <c r="G241" s="173" t="e">
        <f>"("&amp;ROUND(E241/1000,3)&amp;" kWh)"</f>
        <v>#N/A</v>
      </c>
    </row>
    <row r="242" spans="1:7" ht="15" customHeight="1">
      <c r="A242" s="561"/>
      <c r="B242" s="319"/>
      <c r="C242" s="457"/>
      <c r="D242" s="52" t="s">
        <v>169</v>
      </c>
      <c r="E242" s="56">
        <f>'Besoins en chauffage (8)'!E99</f>
        <v>0</v>
      </c>
      <c r="F242" s="54" t="s">
        <v>4</v>
      </c>
      <c r="G242" s="173"/>
    </row>
    <row r="243" spans="1:7" ht="15" customHeight="1">
      <c r="A243" s="561"/>
      <c r="B243" s="319"/>
      <c r="C243" s="457"/>
      <c r="D243" s="52" t="s">
        <v>373</v>
      </c>
      <c r="E243" s="56" t="e">
        <f>'Apports récupérables CH (6)'!E178</f>
        <v>#N/A</v>
      </c>
      <c r="F243" s="52" t="s">
        <v>114</v>
      </c>
      <c r="G243" s="173" t="e">
        <f>"("&amp;ROUND(E243/1000,3)&amp;" kWh)"</f>
        <v>#N/A</v>
      </c>
    </row>
    <row r="244" spans="1:7" ht="15" customHeight="1">
      <c r="A244" s="561"/>
      <c r="B244" s="319"/>
      <c r="C244" s="457"/>
      <c r="D244" s="52" t="s">
        <v>312</v>
      </c>
      <c r="E244" s="56" t="e">
        <f>E239+E243-E241*E242</f>
        <v>#N/A</v>
      </c>
      <c r="F244" s="52" t="s">
        <v>114</v>
      </c>
      <c r="G244" s="173" t="e">
        <f>"("&amp;ROUND(E244/1000,3)&amp;" kWh)"</f>
        <v>#N/A</v>
      </c>
    </row>
    <row r="245" spans="1:7" ht="15" customHeight="1">
      <c r="A245" s="561"/>
      <c r="B245" s="319"/>
      <c r="C245" s="457"/>
      <c r="D245" s="133" t="s">
        <v>205</v>
      </c>
      <c r="E245" s="56" t="e">
        <f>E244/$C$9</f>
        <v>#N/A</v>
      </c>
      <c r="F245" s="52" t="s">
        <v>203</v>
      </c>
      <c r="G245" s="173" t="e">
        <f>"("&amp;ROUND(E245*100,3)&amp;" %)"</f>
        <v>#N/A</v>
      </c>
    </row>
    <row r="246" spans="1:7" ht="15" customHeight="1">
      <c r="A246" s="561"/>
      <c r="B246" s="319"/>
      <c r="C246" s="457"/>
      <c r="D246" s="133" t="s">
        <v>207</v>
      </c>
      <c r="E246" s="56" t="e">
        <f>IF(E245&lt;1,($E$11+$F$11*LOG($C$9/1000))+$D$15*($C$15-E238),IF(E245=1,($C$11+$D$11*LOG($C$9/1000))+0.1*(70-E238),0))</f>
        <v>#N/A</v>
      </c>
      <c r="F246" s="52" t="s">
        <v>203</v>
      </c>
      <c r="G246" s="173"/>
    </row>
    <row r="247" spans="1:7" ht="15" customHeight="1">
      <c r="A247" s="561"/>
      <c r="B247" s="319"/>
      <c r="C247" s="457"/>
      <c r="D247" s="133" t="s">
        <v>374</v>
      </c>
      <c r="E247" s="56" t="e">
        <f>IF(E245&lt;1,(100-E246)/E246*E244,(100-E246)/E246*$C$9)</f>
        <v>#N/A</v>
      </c>
      <c r="F247" s="52" t="s">
        <v>114</v>
      </c>
      <c r="G247" s="173" t="e">
        <f>"("&amp;ROUND(E247/1000,3)&amp;" kWh)"</f>
        <v>#N/A</v>
      </c>
    </row>
    <row r="248" spans="1:7" ht="15" customHeight="1">
      <c r="A248" s="561"/>
      <c r="B248" s="319"/>
      <c r="C248" s="457"/>
      <c r="D248" s="133" t="s">
        <v>208</v>
      </c>
      <c r="E248" s="109" t="e">
        <f>IF($B$17="Oui",E236,E236-$C$7*(E236-$C$6))</f>
        <v>#N/A</v>
      </c>
      <c r="F248" s="52" t="s">
        <v>7</v>
      </c>
      <c r="G248" s="212"/>
    </row>
    <row r="249" spans="1:7" ht="15" customHeight="1">
      <c r="A249" s="561"/>
      <c r="B249" s="319"/>
      <c r="C249" s="457"/>
      <c r="D249" s="133" t="s">
        <v>206</v>
      </c>
      <c r="E249" s="56" t="e">
        <f>IF(E238&lt;E248,0,((($C$9/1000)*($C$13+$D$13*LOG($C$9/1000))/100)*(((E238-E248)/30)^1.25)*1000+IF($D$17="Oui",35,0))*(1-E245))</f>
        <v>#N/A</v>
      </c>
      <c r="F249" s="52" t="s">
        <v>114</v>
      </c>
      <c r="G249" s="173" t="e">
        <f>"("&amp;ROUND(E249/1000,3)&amp;" kWh)"</f>
        <v>#N/A</v>
      </c>
    </row>
    <row r="250" spans="1:7" ht="15" customHeight="1">
      <c r="A250" s="561"/>
      <c r="B250" s="319"/>
      <c r="C250" s="457"/>
      <c r="D250" s="133" t="s">
        <v>210</v>
      </c>
      <c r="E250" s="58" t="e">
        <f>(E247+E249)*E237</f>
        <v>#N/A</v>
      </c>
      <c r="F250" s="57" t="s">
        <v>114</v>
      </c>
      <c r="G250" s="59" t="e">
        <f>"("&amp;ROUND(E250/1000,3)&amp;" kWh)"</f>
        <v>#N/A</v>
      </c>
    </row>
    <row r="251" spans="1:7" ht="15" customHeight="1" thickBot="1">
      <c r="A251" s="561"/>
      <c r="B251" s="319"/>
      <c r="C251" s="567"/>
      <c r="D251" s="213" t="s">
        <v>313</v>
      </c>
      <c r="E251" s="214" t="e">
        <f>IF(AND(E237&lt;&gt;0,E237&lt;&gt;"",E244&lt;&gt;0),(E244*E237)/((E244*E237)+E250),0)</f>
        <v>#N/A</v>
      </c>
      <c r="F251" s="215" t="s">
        <v>203</v>
      </c>
      <c r="G251" s="175" t="e">
        <f>"("&amp;ROUND(E251*100,3)&amp;" %)"</f>
        <v>#N/A</v>
      </c>
    </row>
    <row r="252" spans="1:7" ht="15" customHeight="1">
      <c r="A252" s="561"/>
      <c r="B252" s="319"/>
      <c r="C252" s="309" t="s">
        <v>154</v>
      </c>
      <c r="D252" s="131" t="s">
        <v>151</v>
      </c>
      <c r="E252" s="172">
        <f>'Logement (1)'!E40</f>
        <v>0</v>
      </c>
      <c r="F252" s="164" t="s">
        <v>7</v>
      </c>
      <c r="G252" s="379"/>
    </row>
    <row r="253" spans="1:7" ht="15" customHeight="1">
      <c r="A253" s="561"/>
      <c r="B253" s="319"/>
      <c r="C253" s="310"/>
      <c r="D253" s="52" t="s">
        <v>152</v>
      </c>
      <c r="E253" s="74">
        <f>24-E237</f>
        <v>24</v>
      </c>
      <c r="F253" s="52" t="s">
        <v>8</v>
      </c>
      <c r="G253" s="380"/>
    </row>
    <row r="254" spans="1:7" ht="15" customHeight="1">
      <c r="A254" s="561"/>
      <c r="B254" s="319"/>
      <c r="C254" s="310"/>
      <c r="D254" s="52" t="s">
        <v>200</v>
      </c>
      <c r="E254" s="109" t="e">
        <f>(1+IF($B$16="Radiateurs",0.9,1.5))/IF($B$16="Radiateurs",0.9,1.5)*E252-$C$6/IF($B$16="Radiateurs",0.9,1.5)</f>
        <v>#N/A</v>
      </c>
      <c r="F254" s="52" t="s">
        <v>7</v>
      </c>
      <c r="G254" s="380"/>
    </row>
    <row r="255" spans="1:7" ht="15" customHeight="1">
      <c r="A255" s="561"/>
      <c r="B255" s="319"/>
      <c r="C255" s="310"/>
      <c r="D255" s="52" t="s">
        <v>204</v>
      </c>
      <c r="E255" s="52" t="e">
        <f>IF(E252&gt;$C$6,$C$5*(E252-$C$6),0)</f>
        <v>#N/A</v>
      </c>
      <c r="F255" s="52" t="s">
        <v>114</v>
      </c>
      <c r="G255" s="173" t="e">
        <f>"("&amp;ROUND(E255/1000,3)&amp;" kWh)"</f>
        <v>#N/A</v>
      </c>
    </row>
    <row r="256" spans="1:7" ht="15" customHeight="1">
      <c r="A256" s="561"/>
      <c r="B256" s="319"/>
      <c r="C256" s="310"/>
      <c r="D256" s="52" t="s">
        <v>310</v>
      </c>
      <c r="E256" s="52" t="e">
        <f>E255*E253</f>
        <v>#N/A</v>
      </c>
      <c r="F256" s="52" t="s">
        <v>114</v>
      </c>
      <c r="G256" s="173" t="e">
        <f>"("&amp;ROUND(E256/1000,3)&amp;" kWh)"</f>
        <v>#N/A</v>
      </c>
    </row>
    <row r="257" spans="1:7" ht="15" customHeight="1">
      <c r="A257" s="561"/>
      <c r="B257" s="319"/>
      <c r="C257" s="310"/>
      <c r="D257" s="52" t="s">
        <v>311</v>
      </c>
      <c r="E257" s="56" t="e">
        <f>'Besoins en chauffage (8)'!E104/E253</f>
        <v>#N/A</v>
      </c>
      <c r="F257" s="52" t="s">
        <v>114</v>
      </c>
      <c r="G257" s="173" t="e">
        <f>"("&amp;ROUND(E257/1000,3)&amp;" kWh)"</f>
        <v>#N/A</v>
      </c>
    </row>
    <row r="258" spans="1:7" ht="15" customHeight="1">
      <c r="A258" s="561"/>
      <c r="B258" s="319"/>
      <c r="C258" s="310"/>
      <c r="D258" s="52" t="s">
        <v>169</v>
      </c>
      <c r="E258" s="56">
        <f>'Besoins en chauffage (8)'!E105</f>
        <v>0</v>
      </c>
      <c r="F258" s="54" t="s">
        <v>4</v>
      </c>
      <c r="G258" s="173"/>
    </row>
    <row r="259" spans="1:7" ht="15" customHeight="1">
      <c r="A259" s="561"/>
      <c r="B259" s="319"/>
      <c r="C259" s="310"/>
      <c r="D259" s="52" t="s">
        <v>373</v>
      </c>
      <c r="E259" s="56" t="e">
        <f>'Apports récupérables CH (6)'!E188</f>
        <v>#N/A</v>
      </c>
      <c r="F259" s="52" t="s">
        <v>114</v>
      </c>
      <c r="G259" s="173" t="e">
        <f>"("&amp;ROUND(E259/1000,3)&amp;" kWh)"</f>
        <v>#N/A</v>
      </c>
    </row>
    <row r="260" spans="1:7" ht="15" customHeight="1">
      <c r="A260" s="561"/>
      <c r="B260" s="319"/>
      <c r="C260" s="310"/>
      <c r="D260" s="52" t="s">
        <v>312</v>
      </c>
      <c r="E260" s="56" t="e">
        <f>E255+E259-E257*E258</f>
        <v>#N/A</v>
      </c>
      <c r="F260" s="52" t="s">
        <v>114</v>
      </c>
      <c r="G260" s="173" t="e">
        <f>"("&amp;ROUND(E260/1000,3)&amp;" kWh)"</f>
        <v>#N/A</v>
      </c>
    </row>
    <row r="261" spans="1:7" ht="15" customHeight="1">
      <c r="A261" s="561"/>
      <c r="B261" s="319"/>
      <c r="C261" s="310"/>
      <c r="D261" s="133" t="s">
        <v>205</v>
      </c>
      <c r="E261" s="56" t="e">
        <f>E260/$C$9</f>
        <v>#N/A</v>
      </c>
      <c r="F261" s="52" t="s">
        <v>203</v>
      </c>
      <c r="G261" s="173" t="e">
        <f>"("&amp;ROUND(E261*100,3)&amp;" %)"</f>
        <v>#N/A</v>
      </c>
    </row>
    <row r="262" spans="1:7" ht="15" customHeight="1">
      <c r="A262" s="561"/>
      <c r="B262" s="319"/>
      <c r="C262" s="310"/>
      <c r="D262" s="133" t="s">
        <v>207</v>
      </c>
      <c r="E262" s="56" t="e">
        <f>IF(E261&lt;1,($E$11+$F$11*LOG($C$9/1000))+$D$15*($C$15-E254),IF(E261=1,($C$11+$D$11*LOG($C$9/1000))+0.1*(70-E254),0))</f>
        <v>#N/A</v>
      </c>
      <c r="F262" s="52" t="s">
        <v>203</v>
      </c>
      <c r="G262" s="173"/>
    </row>
    <row r="263" spans="1:7" ht="15" customHeight="1">
      <c r="A263" s="561"/>
      <c r="B263" s="319"/>
      <c r="C263" s="310"/>
      <c r="D263" s="133" t="s">
        <v>374</v>
      </c>
      <c r="E263" s="56" t="e">
        <f>IF(E261&lt;1,(100-E262)/E262*E260,(100-E262)/E262*$C$9)</f>
        <v>#N/A</v>
      </c>
      <c r="F263" s="52" t="s">
        <v>114</v>
      </c>
      <c r="G263" s="173" t="e">
        <f>"("&amp;ROUND(E263/1000,3)&amp;" kWh)"</f>
        <v>#N/A</v>
      </c>
    </row>
    <row r="264" spans="1:7" ht="15" customHeight="1">
      <c r="A264" s="561"/>
      <c r="B264" s="319"/>
      <c r="C264" s="310"/>
      <c r="D264" s="133" t="s">
        <v>208</v>
      </c>
      <c r="E264" s="109" t="e">
        <f>IF($B$17="Oui",E252,E252-$C$7*(E252-$C$6))</f>
        <v>#N/A</v>
      </c>
      <c r="F264" s="52" t="s">
        <v>7</v>
      </c>
      <c r="G264" s="173"/>
    </row>
    <row r="265" spans="1:7" ht="15" customHeight="1">
      <c r="A265" s="561"/>
      <c r="B265" s="319"/>
      <c r="C265" s="310"/>
      <c r="D265" s="133" t="s">
        <v>206</v>
      </c>
      <c r="E265" s="56" t="e">
        <f>IF(E254&lt;E264,0,((($C$9/1000)*($C$13+$D$13*LOG($C$9/1000))/100)*(((E254-E264)/30)^1.25)*1000+IF($D$17="Oui",35,0))*(1-E261))</f>
        <v>#N/A</v>
      </c>
      <c r="F265" s="52" t="s">
        <v>114</v>
      </c>
      <c r="G265" s="173" t="e">
        <f>"("&amp;ROUND(E265/1000,3)&amp;" kWh)"</f>
        <v>#N/A</v>
      </c>
    </row>
    <row r="266" spans="1:7" ht="15" customHeight="1">
      <c r="A266" s="561"/>
      <c r="B266" s="319"/>
      <c r="C266" s="310"/>
      <c r="D266" s="133" t="s">
        <v>210</v>
      </c>
      <c r="E266" s="58" t="e">
        <f>(E263+E265)*E253</f>
        <v>#N/A</v>
      </c>
      <c r="F266" s="57" t="s">
        <v>114</v>
      </c>
      <c r="G266" s="59" t="e">
        <f>"("&amp;ROUND(E266/1000,3)&amp;" kWh)"</f>
        <v>#N/A</v>
      </c>
    </row>
    <row r="267" spans="1:7" ht="15" customHeight="1" thickBot="1">
      <c r="A267" s="561"/>
      <c r="B267" s="277"/>
      <c r="C267" s="304"/>
      <c r="D267" s="213" t="s">
        <v>313</v>
      </c>
      <c r="E267" s="214" t="e">
        <f>IF(AND(E253&lt;&gt;0,E253&lt;&gt;"",E260&lt;&gt;0),(E260*E253)/((E260*E253)+E266),0)</f>
        <v>#N/A</v>
      </c>
      <c r="F267" s="174" t="s">
        <v>203</v>
      </c>
      <c r="G267" s="175" t="e">
        <f>"("&amp;ROUND(E267*100,3)&amp;" %)"</f>
        <v>#N/A</v>
      </c>
    </row>
    <row r="268" spans="1:7" ht="15" customHeight="1">
      <c r="A268" s="457"/>
      <c r="B268" s="442" t="s">
        <v>213</v>
      </c>
      <c r="C268" s="423"/>
      <c r="D268" s="416"/>
      <c r="E268" s="216" t="e">
        <f>E240+E256</f>
        <v>#N/A</v>
      </c>
      <c r="F268" s="176" t="s">
        <v>122</v>
      </c>
      <c r="G268" s="59" t="e">
        <f>"("&amp;ROUND(E268/1000,3)&amp;" kWh/j)"</f>
        <v>#N/A</v>
      </c>
    </row>
    <row r="269" spans="1:7" ht="15" customHeight="1">
      <c r="A269" s="457"/>
      <c r="B269" s="297" t="s">
        <v>217</v>
      </c>
      <c r="C269" s="275"/>
      <c r="D269" s="276"/>
      <c r="E269" s="216" t="e">
        <f>(E244*E237)+(E260*E253)</f>
        <v>#N/A</v>
      </c>
      <c r="F269" s="176" t="s">
        <v>122</v>
      </c>
      <c r="G269" s="59" t="e">
        <f>"("&amp;ROUND(E269/1000,3)&amp;" kWh/j)"</f>
        <v>#N/A</v>
      </c>
    </row>
    <row r="270" spans="1:7" ht="15" customHeight="1">
      <c r="A270" s="457"/>
      <c r="B270" s="297" t="s">
        <v>218</v>
      </c>
      <c r="C270" s="275"/>
      <c r="D270" s="276"/>
      <c r="E270" s="58" t="e">
        <f>E250+E266</f>
        <v>#N/A</v>
      </c>
      <c r="F270" s="176" t="s">
        <v>122</v>
      </c>
      <c r="G270" s="59" t="e">
        <f>"("&amp;ROUND(E270/1000,3)&amp;" kWh/j)"</f>
        <v>#N/A</v>
      </c>
    </row>
    <row r="271" spans="1:7" ht="15" customHeight="1" thickBot="1">
      <c r="A271" s="567"/>
      <c r="B271" s="575" t="s">
        <v>212</v>
      </c>
      <c r="C271" s="468"/>
      <c r="D271" s="469"/>
      <c r="E271" s="76" t="e">
        <f>IF(E270&lt;&gt;0,E269/(E269+E270),0)</f>
        <v>#N/A</v>
      </c>
      <c r="F271" s="174" t="s">
        <v>203</v>
      </c>
      <c r="G271" s="175" t="e">
        <f>"("&amp;ROUND(E271*100,3)&amp;" %)"</f>
        <v>#N/A</v>
      </c>
    </row>
    <row r="272" spans="1:7" ht="15" customHeight="1" thickBot="1">
      <c r="A272" s="381"/>
      <c r="B272" s="382"/>
      <c r="C272" s="382"/>
      <c r="D272" s="382"/>
      <c r="E272" s="382"/>
      <c r="F272" s="382"/>
      <c r="G272" s="383"/>
    </row>
    <row r="273" spans="1:7" ht="15" customHeight="1">
      <c r="A273" s="301" t="s">
        <v>220</v>
      </c>
      <c r="B273" s="302"/>
      <c r="C273" s="302"/>
      <c r="D273" s="302"/>
      <c r="E273" s="302"/>
      <c r="F273" s="302"/>
      <c r="G273" s="303"/>
    </row>
    <row r="274" spans="1:7" ht="15" customHeight="1">
      <c r="A274" s="308" t="s">
        <v>215</v>
      </c>
      <c r="B274" s="350"/>
      <c r="C274" s="88" t="e">
        <f>E52+E88+E124+E160+E196+E232+E268</f>
        <v>#N/A</v>
      </c>
      <c r="D274" s="74" t="s">
        <v>114</v>
      </c>
      <c r="E274" s="51" t="e">
        <f>"("&amp;ROUND(C274/1000,3)&amp;" kWh)"</f>
        <v>#N/A</v>
      </c>
      <c r="F274" s="350"/>
      <c r="G274" s="316"/>
    </row>
    <row r="275" spans="1:7" ht="15" customHeight="1">
      <c r="A275" s="308" t="s">
        <v>334</v>
      </c>
      <c r="B275" s="350"/>
      <c r="C275" s="88" t="e">
        <f>E53+E89+E125+E161+E197+E233+E269</f>
        <v>#N/A</v>
      </c>
      <c r="D275" s="74" t="s">
        <v>114</v>
      </c>
      <c r="E275" s="51" t="e">
        <f>"("&amp;ROUND(C275/1000,3)&amp;" kWh)"</f>
        <v>#N/A</v>
      </c>
      <c r="F275" s="350"/>
      <c r="G275" s="316"/>
    </row>
    <row r="276" spans="1:7" ht="15" customHeight="1">
      <c r="A276" s="308" t="s">
        <v>214</v>
      </c>
      <c r="B276" s="350"/>
      <c r="C276" s="58" t="e">
        <f>E54+E90+E126+E162+E198+E234+E270</f>
        <v>#N/A</v>
      </c>
      <c r="D276" s="57" t="s">
        <v>114</v>
      </c>
      <c r="E276" s="181" t="e">
        <f>"("&amp;ROUND(C276/1000,3)&amp;" kWh)"</f>
        <v>#N/A</v>
      </c>
      <c r="F276" s="350"/>
      <c r="G276" s="316"/>
    </row>
    <row r="277" spans="1:7" ht="15" customHeight="1" thickBot="1">
      <c r="A277" s="341" t="s">
        <v>219</v>
      </c>
      <c r="B277" s="342"/>
      <c r="C277" s="76" t="e">
        <f>IF(C276&lt;&gt;0,C275/(C275+C276),0)</f>
        <v>#N/A</v>
      </c>
      <c r="D277" s="174" t="s">
        <v>203</v>
      </c>
      <c r="E277" s="182" t="e">
        <f>"("&amp;ROUND(C277*100,3)&amp;" %)"</f>
        <v>#N/A</v>
      </c>
      <c r="F277" s="342"/>
      <c r="G277" s="315"/>
    </row>
    <row r="278" spans="1:7" ht="15" customHeight="1" thickBot="1">
      <c r="A278" s="381"/>
      <c r="B278" s="382"/>
      <c r="C278" s="382"/>
      <c r="D278" s="382"/>
      <c r="E278" s="382"/>
      <c r="F278" s="382"/>
      <c r="G278" s="383"/>
    </row>
    <row r="279" spans="1:7" ht="15" customHeight="1">
      <c r="A279" s="301" t="s">
        <v>165</v>
      </c>
      <c r="B279" s="302"/>
      <c r="C279" s="302"/>
      <c r="D279" s="302"/>
      <c r="E279" s="302"/>
      <c r="F279" s="302"/>
      <c r="G279" s="303"/>
    </row>
    <row r="280" spans="1:7" ht="15" customHeight="1">
      <c r="A280" s="308" t="s">
        <v>366</v>
      </c>
      <c r="B280" s="350"/>
      <c r="C280" s="74">
        <f>IF('Logement (1)'!$C$49="Oui",'Logement (1)'!$C$51,0)</f>
        <v>0</v>
      </c>
      <c r="D280" s="52" t="s">
        <v>164</v>
      </c>
      <c r="E280" s="385"/>
      <c r="F280" s="350"/>
      <c r="G280" s="316"/>
    </row>
    <row r="281" spans="1:7" ht="15" customHeight="1">
      <c r="A281" s="433" t="s">
        <v>367</v>
      </c>
      <c r="B281" s="276"/>
      <c r="C281" s="74">
        <f>'Logement (1)'!$C$52</f>
        <v>0</v>
      </c>
      <c r="D281" s="52" t="s">
        <v>7</v>
      </c>
      <c r="E281" s="385"/>
      <c r="F281" s="350"/>
      <c r="G281" s="316"/>
    </row>
    <row r="282" spans="1:7" ht="15" customHeight="1">
      <c r="A282" s="433" t="s">
        <v>271</v>
      </c>
      <c r="B282" s="276"/>
      <c r="C282" s="109" t="e">
        <f>(1+IF($B$16="Radiateurs",0.9,1.5))/IF($B$16="Radiateurs",0.9,1.5)*E252-$C$6/IF($B$16="Radiateurs",0.9,1.5)</f>
        <v>#N/A</v>
      </c>
      <c r="D282" s="52" t="s">
        <v>7</v>
      </c>
      <c r="E282" s="361"/>
      <c r="F282" s="350"/>
      <c r="G282" s="316"/>
    </row>
    <row r="283" spans="1:7" ht="15" customHeight="1">
      <c r="A283" s="433" t="s">
        <v>316</v>
      </c>
      <c r="B283" s="276"/>
      <c r="C283" s="109" t="e">
        <f>'Apports solaires (3)'!E19+'Apports récupérables CH (6)'!C211</f>
        <v>#N/A</v>
      </c>
      <c r="D283" s="52" t="s">
        <v>114</v>
      </c>
      <c r="E283" s="51" t="e">
        <f>"("&amp;ROUND(C283/1000,3)&amp;" kWh)"</f>
        <v>#N/A</v>
      </c>
      <c r="F283" s="350"/>
      <c r="G283" s="316"/>
    </row>
    <row r="284" spans="1:7" ht="15" customHeight="1">
      <c r="A284" s="433" t="s">
        <v>169</v>
      </c>
      <c r="B284" s="276"/>
      <c r="C284" s="88">
        <f>'Besoins en chauffage (8)'!C120</f>
        <v>0</v>
      </c>
      <c r="D284" s="54" t="s">
        <v>4</v>
      </c>
      <c r="E284" s="52"/>
      <c r="F284" s="350"/>
      <c r="G284" s="316"/>
    </row>
    <row r="285" spans="1:7" ht="15" customHeight="1">
      <c r="A285" s="433" t="s">
        <v>368</v>
      </c>
      <c r="B285" s="276"/>
      <c r="C285" s="88">
        <f>IF(C280&lt;&gt;0,$C$5*IF(C6&lt;C281,($C$281-$C$6),0)*24*$C$280,0)</f>
        <v>0</v>
      </c>
      <c r="D285" s="74" t="s">
        <v>114</v>
      </c>
      <c r="E285" s="51" t="str">
        <f>"("&amp;ROUND(C285/1000,3)&amp;" kWh)"</f>
        <v>(0 kWh)</v>
      </c>
      <c r="F285" s="350"/>
      <c r="G285" s="316"/>
    </row>
    <row r="286" spans="1:7" ht="15" customHeight="1">
      <c r="A286" s="433" t="s">
        <v>373</v>
      </c>
      <c r="B286" s="276"/>
      <c r="C286" s="88" t="e">
        <f>'Apports récupérables CH (6)'!C210</f>
        <v>#N/A</v>
      </c>
      <c r="D286" s="74" t="s">
        <v>114</v>
      </c>
      <c r="E286" s="51" t="e">
        <f>"("&amp;ROUND(C286/1000,3)&amp;" kWh)"</f>
        <v>#N/A</v>
      </c>
      <c r="F286" s="350"/>
      <c r="G286" s="316"/>
    </row>
    <row r="287" spans="1:7" ht="15" customHeight="1">
      <c r="A287" s="433" t="s">
        <v>312</v>
      </c>
      <c r="B287" s="276"/>
      <c r="C287" s="88" t="e">
        <f>IF(C281&gt;$C$6,IF(C280&lt;&gt;0,C286+($C$5*(C281-$C$6))-(C283*C284),0),0)</f>
        <v>#N/A</v>
      </c>
      <c r="D287" s="74" t="s">
        <v>114</v>
      </c>
      <c r="E287" s="51" t="e">
        <f>"("&amp;ROUND(C287/1000,3)&amp;" kWh)"</f>
        <v>#N/A</v>
      </c>
      <c r="F287" s="350"/>
      <c r="G287" s="316"/>
    </row>
    <row r="288" spans="1:7" ht="15" customHeight="1">
      <c r="A288" s="433" t="s">
        <v>376</v>
      </c>
      <c r="B288" s="276"/>
      <c r="C288" s="88" t="e">
        <f>C287*24*C280</f>
        <v>#N/A</v>
      </c>
      <c r="D288" s="74" t="s">
        <v>114</v>
      </c>
      <c r="E288" s="51" t="e">
        <f>"("&amp;ROUND(C288/1000,3)&amp;" kWh)"</f>
        <v>#N/A</v>
      </c>
      <c r="F288" s="350"/>
      <c r="G288" s="316"/>
    </row>
    <row r="289" spans="1:7" ht="15" customHeight="1">
      <c r="A289" s="433" t="s">
        <v>205</v>
      </c>
      <c r="B289" s="276"/>
      <c r="C289" s="56" t="e">
        <f>C287/$C$9</f>
        <v>#N/A</v>
      </c>
      <c r="D289" s="74" t="s">
        <v>203</v>
      </c>
      <c r="E289" s="96" t="e">
        <f>"("&amp;ROUND(C289*100,3)&amp;" %)"</f>
        <v>#N/A</v>
      </c>
      <c r="F289" s="350"/>
      <c r="G289" s="316"/>
    </row>
    <row r="290" spans="1:7" ht="15" customHeight="1">
      <c r="A290" s="433" t="s">
        <v>223</v>
      </c>
      <c r="B290" s="276"/>
      <c r="C290" s="56" t="e">
        <f>IF(AND(C280&lt;&gt;0,C289&lt;&gt;0),IF(C289&lt;1,($E$11+$F$11*LOG($C$9/1000))+$D$15*($C$15-C282),IF(C289=1,($C$11+$D$11*LOG($C$9/1000))+0.1*(70-C282),0)),0)</f>
        <v>#N/A</v>
      </c>
      <c r="D290" s="74" t="s">
        <v>203</v>
      </c>
      <c r="E290" s="51"/>
      <c r="F290" s="350"/>
      <c r="G290" s="316"/>
    </row>
    <row r="291" spans="1:7" ht="15" customHeight="1">
      <c r="A291" s="433" t="s">
        <v>319</v>
      </c>
      <c r="B291" s="276"/>
      <c r="C291" s="88" t="e">
        <f>IF(AND(C280&lt;&gt;0,C290&lt;&gt;0),(100-C290)/C290*C286,0)</f>
        <v>#N/A</v>
      </c>
      <c r="D291" s="74" t="s">
        <v>114</v>
      </c>
      <c r="E291" s="51" t="e">
        <f>"("&amp;ROUND(C291/1000,3)&amp;" kWh)"</f>
        <v>#N/A</v>
      </c>
      <c r="F291" s="350"/>
      <c r="G291" s="316"/>
    </row>
    <row r="292" spans="1:7" ht="15" customHeight="1">
      <c r="A292" s="433" t="s">
        <v>208</v>
      </c>
      <c r="B292" s="276"/>
      <c r="C292" s="109">
        <f>IF(C280&lt;&gt;0,IF($B$17="Oui",C281,C281-$C$7*(C281-$C$6)),"")</f>
      </c>
      <c r="D292" s="74" t="s">
        <v>7</v>
      </c>
      <c r="E292" s="51"/>
      <c r="F292" s="350"/>
      <c r="G292" s="316"/>
    </row>
    <row r="293" spans="1:7" ht="15" customHeight="1">
      <c r="A293" s="433" t="s">
        <v>318</v>
      </c>
      <c r="B293" s="276"/>
      <c r="C293" s="56">
        <f>IF(C280&lt;&gt;0,IF(C282&lt;C292,0,((($C$9/1000)*($C$13+$D$13*LOG($C$9/1000))/100)*(((C282-C292)/30)^1.25)*1000+IF($D$17="Oui",35,0))*(1-C289)),0)</f>
        <v>0</v>
      </c>
      <c r="D293" s="74" t="s">
        <v>114</v>
      </c>
      <c r="E293" s="51" t="str">
        <f>"("&amp;ROUND(C293/1000,3)&amp;" kWh)"</f>
        <v>(0 kWh)</v>
      </c>
      <c r="F293" s="350"/>
      <c r="G293" s="316"/>
    </row>
    <row r="294" spans="1:7" ht="15" customHeight="1">
      <c r="A294" s="433" t="s">
        <v>369</v>
      </c>
      <c r="B294" s="276"/>
      <c r="C294" s="58">
        <f>IF(C280&lt;&gt;0,(C291+C293)*24*C280,0)</f>
        <v>0</v>
      </c>
      <c r="D294" s="57" t="s">
        <v>114</v>
      </c>
      <c r="E294" s="181" t="str">
        <f>"("&amp;ROUND(C294/1000,3)&amp;" kWh)"</f>
        <v>(0 kWh)</v>
      </c>
      <c r="F294" s="350"/>
      <c r="G294" s="316"/>
    </row>
    <row r="295" spans="1:7" ht="15" customHeight="1">
      <c r="A295" s="433" t="s">
        <v>370</v>
      </c>
      <c r="B295" s="276"/>
      <c r="C295" s="58" t="e">
        <f>IF(((C287*C280*24)+C294)=0,0,IF(C280&lt;&gt;0,(C287*C280*24)/((C287*C280*24)+C294),0))</f>
        <v>#N/A</v>
      </c>
      <c r="D295" s="57" t="s">
        <v>203</v>
      </c>
      <c r="E295" s="181" t="e">
        <f>"("&amp;ROUND(C295*100,3)&amp;" %)"</f>
        <v>#N/A</v>
      </c>
      <c r="F295" s="350"/>
      <c r="G295" s="316"/>
    </row>
    <row r="296" spans="1:7" ht="15" customHeight="1" thickBot="1">
      <c r="A296" s="433"/>
      <c r="B296" s="275"/>
      <c r="C296" s="275"/>
      <c r="D296" s="275"/>
      <c r="E296" s="275"/>
      <c r="F296" s="275"/>
      <c r="G296" s="288"/>
    </row>
    <row r="297" spans="1:7" ht="15" customHeight="1">
      <c r="A297" s="580" t="str">
        <f>"Valeurs pour le mois "&amp;IF(OR($C$4="avril",$C$4="août",$C$4="octobre"),"d'","de ")&amp;IF(C4&lt;&gt;0,C4,"")</f>
        <v>Valeurs pour le mois de </v>
      </c>
      <c r="B297" s="581"/>
      <c r="C297" s="581"/>
      <c r="D297" s="581"/>
      <c r="E297" s="581"/>
      <c r="F297" s="581"/>
      <c r="G297" s="582"/>
    </row>
    <row r="298" spans="1:7" ht="15" customHeight="1">
      <c r="A298" s="308" t="str">
        <f>"Nombre de jours du mois "&amp;IF(OR($C$4="avril",$C$4="août",$C$4="octobre"),"d'","de ")&amp;IF(C4&lt;&gt;0,C4,"")&amp;" :"</f>
        <v>Nombre de jours du mois de  :</v>
      </c>
      <c r="B298" s="350"/>
      <c r="C298" s="74" t="e">
        <f>SAISONCHAUFFAGE("Zone H1",,5,,$C$4)</f>
        <v>#VALUE!</v>
      </c>
      <c r="D298" s="74" t="s">
        <v>164</v>
      </c>
      <c r="E298" s="300"/>
      <c r="F298" s="350"/>
      <c r="G298" s="316"/>
    </row>
    <row r="299" spans="1:7" ht="15" customHeight="1">
      <c r="A299" s="308" t="str">
        <f>"Nombre de jours de chauffage (hors vacances) pour le mois "&amp;IF(OR(C4="avril",C4="août",C4="octobre"),"d'","de ")&amp;IF(C4&lt;&gt;0,C4,"")&amp;" :"</f>
        <v>Nombre de jours de chauffage (hors vacances) pour le mois de  :</v>
      </c>
      <c r="B299" s="350"/>
      <c r="C299" s="74">
        <f>'Logement (1)'!C56</f>
        <v>31</v>
      </c>
      <c r="D299" s="74" t="s">
        <v>164</v>
      </c>
      <c r="E299" s="350"/>
      <c r="F299" s="350"/>
      <c r="G299" s="316"/>
    </row>
    <row r="300" spans="1:7" ht="15" customHeight="1">
      <c r="A300" s="583" t="s">
        <v>375</v>
      </c>
      <c r="B300" s="52" t="s">
        <v>111</v>
      </c>
      <c r="C300" s="88" t="e">
        <f>C274*(C299/7)</f>
        <v>#N/A</v>
      </c>
      <c r="D300" s="74" t="s">
        <v>114</v>
      </c>
      <c r="E300" s="51" t="e">
        <f>"("&amp;ROUND(C300/1000,3)&amp;" kWh)"</f>
        <v>#N/A</v>
      </c>
      <c r="F300" s="343"/>
      <c r="G300" s="344"/>
    </row>
    <row r="301" spans="1:7" ht="15" customHeight="1">
      <c r="A301" s="584"/>
      <c r="B301" s="52" t="s">
        <v>305</v>
      </c>
      <c r="C301" s="88" t="e">
        <f>C275*($C$299/7)</f>
        <v>#N/A</v>
      </c>
      <c r="D301" s="74" t="s">
        <v>114</v>
      </c>
      <c r="E301" s="51" t="e">
        <f>"("&amp;ROUND(C301/1000,3)&amp;" kWh)"</f>
        <v>#N/A</v>
      </c>
      <c r="F301" s="345"/>
      <c r="G301" s="346"/>
    </row>
    <row r="302" spans="1:7" ht="15" customHeight="1">
      <c r="A302" s="584"/>
      <c r="B302" s="52" t="s">
        <v>321</v>
      </c>
      <c r="C302" s="58" t="e">
        <f>C276*($C$299/7)</f>
        <v>#N/A</v>
      </c>
      <c r="D302" s="57" t="s">
        <v>114</v>
      </c>
      <c r="E302" s="181" t="e">
        <f>"("&amp;ROUND(C302/1000,3)&amp;" kWh)"</f>
        <v>#N/A</v>
      </c>
      <c r="F302" s="345"/>
      <c r="G302" s="346"/>
    </row>
    <row r="303" spans="1:7" ht="15" customHeight="1">
      <c r="A303" s="585"/>
      <c r="B303" s="52" t="s">
        <v>224</v>
      </c>
      <c r="C303" s="218" t="e">
        <f>IF(C301=0,0,C301/(C301+C302))</f>
        <v>#N/A</v>
      </c>
      <c r="D303" s="57" t="s">
        <v>203</v>
      </c>
      <c r="E303" s="181" t="e">
        <f>"("&amp;ROUND(C303*100,3)&amp;" %)"</f>
        <v>#N/A</v>
      </c>
      <c r="F303" s="345"/>
      <c r="G303" s="346"/>
    </row>
    <row r="304" spans="1:7" ht="15" customHeight="1">
      <c r="A304" s="308" t="s">
        <v>225</v>
      </c>
      <c r="B304" s="350"/>
      <c r="C304" s="88" t="e">
        <f>C285+C300</f>
        <v>#N/A</v>
      </c>
      <c r="D304" s="74" t="s">
        <v>114</v>
      </c>
      <c r="E304" s="51" t="e">
        <f>"("&amp;ROUND(C304/1000,3)&amp;" kWh)"</f>
        <v>#N/A</v>
      </c>
      <c r="F304" s="345"/>
      <c r="G304" s="346"/>
    </row>
    <row r="305" spans="1:7" ht="15" customHeight="1">
      <c r="A305" s="308" t="s">
        <v>221</v>
      </c>
      <c r="B305" s="350"/>
      <c r="C305" s="88" t="e">
        <f>C288+C301</f>
        <v>#N/A</v>
      </c>
      <c r="D305" s="74" t="s">
        <v>114</v>
      </c>
      <c r="E305" s="51" t="e">
        <f>"("&amp;ROUND(C305/1000,3)&amp;" kWh)"</f>
        <v>#N/A</v>
      </c>
      <c r="F305" s="345"/>
      <c r="G305" s="346"/>
    </row>
    <row r="306" spans="1:7" ht="15" customHeight="1">
      <c r="A306" s="433"/>
      <c r="B306" s="275"/>
      <c r="C306" s="275"/>
      <c r="D306" s="275"/>
      <c r="E306" s="276"/>
      <c r="F306" s="345"/>
      <c r="G306" s="346"/>
    </row>
    <row r="307" spans="1:7" ht="15" customHeight="1">
      <c r="A307" s="308" t="str">
        <f>"Pertes thermiques de génération pour le mois "&amp;IF(OR(C4="avril",C4="août",C4="octobre"),"d'","de ")&amp;IF(C4&lt;&gt;0,C4,"")&amp;" :"</f>
        <v>Pertes thermiques de génération pour le mois de  :</v>
      </c>
      <c r="B307" s="350"/>
      <c r="C307" s="61" t="e">
        <f>C302+C294</f>
        <v>#N/A</v>
      </c>
      <c r="D307" s="60" t="s">
        <v>114</v>
      </c>
      <c r="E307" s="184" t="e">
        <f>"("&amp;ROUND(C307/1000,3)&amp;" kWh)"</f>
        <v>#N/A</v>
      </c>
      <c r="F307" s="345"/>
      <c r="G307" s="346"/>
    </row>
    <row r="308" spans="1:7" ht="15" customHeight="1" thickBot="1">
      <c r="A308" s="341" t="str">
        <f>"Rendement de génération pour le mois "&amp;IF(OR(C4="avril",C4="août",C4="octobre"),"d'","de ")&amp;IF(C4&lt;&gt;0,C4,"")&amp;" :"</f>
        <v>Rendement de génération pour le mois de  :</v>
      </c>
      <c r="B308" s="342"/>
      <c r="C308" s="65" t="e">
        <f>IF(C305=0,0,C305/(C305+C307))</f>
        <v>#N/A</v>
      </c>
      <c r="D308" s="64" t="s">
        <v>203</v>
      </c>
      <c r="E308" s="185" t="e">
        <f>"("&amp;ROUND(C308*100,3)&amp;" %)"</f>
        <v>#N/A</v>
      </c>
      <c r="F308" s="591"/>
      <c r="G308" s="450"/>
    </row>
    <row r="309" spans="1:7" ht="15" customHeight="1">
      <c r="A309" s="219"/>
      <c r="B309" s="219"/>
      <c r="C309" s="219"/>
      <c r="D309" s="220"/>
      <c r="E309" s="165"/>
      <c r="F309" s="219"/>
      <c r="G309" s="219"/>
    </row>
    <row r="310" spans="1:7" ht="15" customHeight="1" thickBot="1">
      <c r="A310" s="219"/>
      <c r="B310" s="219"/>
      <c r="C310" s="219"/>
      <c r="D310" s="219"/>
      <c r="E310" s="219"/>
      <c r="F310" s="219"/>
      <c r="G310" s="219"/>
    </row>
    <row r="311" spans="1:7" ht="15" customHeight="1" thickBot="1">
      <c r="A311" s="586" t="s">
        <v>227</v>
      </c>
      <c r="B311" s="587"/>
      <c r="C311" s="587"/>
      <c r="D311" s="587"/>
      <c r="E311" s="587"/>
      <c r="F311" s="313"/>
      <c r="G311" s="314"/>
    </row>
    <row r="312" spans="1:7" ht="15" customHeight="1" thickBot="1">
      <c r="A312" s="562"/>
      <c r="B312" s="563"/>
      <c r="C312" s="563"/>
      <c r="D312" s="563"/>
      <c r="E312" s="563"/>
      <c r="F312" s="563"/>
      <c r="G312" s="564"/>
    </row>
    <row r="313" spans="1:7" ht="15" customHeight="1" thickBot="1">
      <c r="A313" s="451" t="s">
        <v>148</v>
      </c>
      <c r="B313" s="452"/>
      <c r="C313" s="452"/>
      <c r="D313" s="452"/>
      <c r="E313" s="437"/>
      <c r="F313" s="437"/>
      <c r="G313" s="438"/>
    </row>
    <row r="314" spans="1:7" ht="15" customHeight="1">
      <c r="A314" s="560" t="s">
        <v>323</v>
      </c>
      <c r="B314" s="560" t="s">
        <v>155</v>
      </c>
      <c r="C314" s="569" t="s">
        <v>150</v>
      </c>
      <c r="D314" s="164" t="s">
        <v>320</v>
      </c>
      <c r="E314" s="221" t="e">
        <f>'Apports récupérables CH (6)'!E47</f>
        <v>#N/A</v>
      </c>
      <c r="F314" s="135" t="s">
        <v>114</v>
      </c>
      <c r="G314" s="222" t="e">
        <f>"("&amp;ROUND(E314/1000,3)&amp;" kWh)"</f>
        <v>#N/A</v>
      </c>
    </row>
    <row r="315" spans="1:7" ht="15" customHeight="1" thickBot="1">
      <c r="A315" s="561"/>
      <c r="B315" s="561"/>
      <c r="C315" s="570"/>
      <c r="D315" s="63" t="s">
        <v>330</v>
      </c>
      <c r="E315" s="223" t="e">
        <f>IF(E314=0,0,(E28*E21)/((E28*E21)+E314))</f>
        <v>#N/A</v>
      </c>
      <c r="F315" s="217" t="s">
        <v>203</v>
      </c>
      <c r="G315" s="224" t="e">
        <f>"("&amp;ROUND(E315*100,3)&amp;" %)"</f>
        <v>#N/A</v>
      </c>
    </row>
    <row r="316" spans="1:7" ht="15" customHeight="1">
      <c r="A316" s="561"/>
      <c r="B316" s="561"/>
      <c r="C316" s="569" t="s">
        <v>154</v>
      </c>
      <c r="D316" s="164" t="s">
        <v>320</v>
      </c>
      <c r="E316" s="221" t="e">
        <f>'Apports récupérables CH (6)'!E57</f>
        <v>#N/A</v>
      </c>
      <c r="F316" s="135" t="s">
        <v>114</v>
      </c>
      <c r="G316" s="222" t="e">
        <f>"("&amp;ROUND(E316/1000,3)&amp;" kWh)"</f>
        <v>#N/A</v>
      </c>
    </row>
    <row r="317" spans="1:7" ht="15" customHeight="1" thickBot="1">
      <c r="A317" s="561"/>
      <c r="B317" s="561"/>
      <c r="C317" s="570"/>
      <c r="D317" s="63" t="s">
        <v>330</v>
      </c>
      <c r="E317" s="223" t="e">
        <f>IF(E316=0,0,(E44*E37)/((E44*E37)+E316))</f>
        <v>#N/A</v>
      </c>
      <c r="F317" s="217" t="s">
        <v>203</v>
      </c>
      <c r="G317" s="224" t="e">
        <f>"("&amp;ROUND(E317*100,3)&amp;" %)"</f>
        <v>#N/A</v>
      </c>
    </row>
    <row r="318" spans="1:7" ht="15" customHeight="1">
      <c r="A318" s="561"/>
      <c r="B318" s="457"/>
      <c r="C318" s="573" t="s">
        <v>331</v>
      </c>
      <c r="D318" s="574"/>
      <c r="E318" s="225" t="e">
        <f>E314+E316</f>
        <v>#N/A</v>
      </c>
      <c r="F318" s="203" t="s">
        <v>114</v>
      </c>
      <c r="G318" s="226" t="e">
        <f>"("&amp;ROUND(E318/1000,3)&amp;" kWh)"</f>
        <v>#N/A</v>
      </c>
    </row>
    <row r="319" spans="1:7" ht="15" customHeight="1" thickBot="1">
      <c r="A319" s="568"/>
      <c r="B319" s="567"/>
      <c r="C319" s="565" t="s">
        <v>332</v>
      </c>
      <c r="D319" s="566"/>
      <c r="E319" s="223" t="e">
        <f>IF(E318=0,0,((E28*E21)+(E44*E37))/(((E28*E21)+(E44*E37))+E318))</f>
        <v>#N/A</v>
      </c>
      <c r="F319" s="217" t="s">
        <v>203</v>
      </c>
      <c r="G319" s="224" t="e">
        <f>"("&amp;ROUND(E319*100,3)&amp;" %)"</f>
        <v>#N/A</v>
      </c>
    </row>
    <row r="320" spans="1:7" ht="15" customHeight="1">
      <c r="A320" s="560" t="s">
        <v>324</v>
      </c>
      <c r="B320" s="560" t="s">
        <v>155</v>
      </c>
      <c r="C320" s="569" t="s">
        <v>150</v>
      </c>
      <c r="D320" s="164" t="s">
        <v>320</v>
      </c>
      <c r="E320" s="221" t="e">
        <f>'Apports récupérables CH (6)'!E69</f>
        <v>#N/A</v>
      </c>
      <c r="F320" s="135" t="s">
        <v>114</v>
      </c>
      <c r="G320" s="222" t="e">
        <f>"("&amp;ROUND(E320/1000,3)&amp;" kWh)"</f>
        <v>#N/A</v>
      </c>
    </row>
    <row r="321" spans="1:7" ht="15" customHeight="1" thickBot="1">
      <c r="A321" s="561"/>
      <c r="B321" s="561"/>
      <c r="C321" s="570"/>
      <c r="D321" s="63" t="s">
        <v>330</v>
      </c>
      <c r="E321" s="223" t="e">
        <f>IF(E320=0,0,(E64*E57)/((E64*E57)+E320))</f>
        <v>#N/A</v>
      </c>
      <c r="F321" s="217" t="s">
        <v>203</v>
      </c>
      <c r="G321" s="224" t="e">
        <f>"("&amp;ROUND(E321*100,3)&amp;" %)"</f>
        <v>#N/A</v>
      </c>
    </row>
    <row r="322" spans="1:7" ht="15" customHeight="1">
      <c r="A322" s="561"/>
      <c r="B322" s="561"/>
      <c r="C322" s="569" t="s">
        <v>154</v>
      </c>
      <c r="D322" s="164" t="s">
        <v>320</v>
      </c>
      <c r="E322" s="221" t="e">
        <f>'Apports récupérables CH (6)'!E79</f>
        <v>#N/A</v>
      </c>
      <c r="F322" s="135" t="s">
        <v>114</v>
      </c>
      <c r="G322" s="222" t="e">
        <f>"("&amp;ROUND(E322/1000,3)&amp;" kWh)"</f>
        <v>#N/A</v>
      </c>
    </row>
    <row r="323" spans="1:7" ht="15" customHeight="1" thickBot="1">
      <c r="A323" s="561"/>
      <c r="B323" s="561"/>
      <c r="C323" s="570"/>
      <c r="D323" s="63" t="s">
        <v>330</v>
      </c>
      <c r="E323" s="227" t="e">
        <f>IF(E322=0,0,(E80*E73)/((E80*E73)+E322))</f>
        <v>#N/A</v>
      </c>
      <c r="F323" s="217" t="s">
        <v>203</v>
      </c>
      <c r="G323" s="224" t="e">
        <f>"("&amp;ROUND(E323*100,3)&amp;" %)"</f>
        <v>#N/A</v>
      </c>
    </row>
    <row r="324" spans="1:7" ht="15" customHeight="1">
      <c r="A324" s="561"/>
      <c r="B324" s="457"/>
      <c r="C324" s="573" t="s">
        <v>331</v>
      </c>
      <c r="D324" s="574"/>
      <c r="E324" s="225" t="e">
        <f>E320+E322</f>
        <v>#N/A</v>
      </c>
      <c r="F324" s="135" t="s">
        <v>114</v>
      </c>
      <c r="G324" s="222" t="e">
        <f>"("&amp;ROUND(E324/1000,3)&amp;" kWh)"</f>
        <v>#N/A</v>
      </c>
    </row>
    <row r="325" spans="1:7" ht="15" customHeight="1" thickBot="1">
      <c r="A325" s="568"/>
      <c r="B325" s="567"/>
      <c r="C325" s="565" t="s">
        <v>332</v>
      </c>
      <c r="D325" s="566"/>
      <c r="E325" s="227" t="e">
        <f>IF(E324=0,0,((E64*E57)+(E80*E73))/(((E64*E57)+(E80*E73))+E324))</f>
        <v>#N/A</v>
      </c>
      <c r="F325" s="217" t="s">
        <v>203</v>
      </c>
      <c r="G325" s="224" t="e">
        <f>"("&amp;ROUND(E325*100,3)&amp;" %)"</f>
        <v>#N/A</v>
      </c>
    </row>
    <row r="326" spans="1:7" ht="15" customHeight="1">
      <c r="A326" s="560" t="s">
        <v>325</v>
      </c>
      <c r="B326" s="560" t="s">
        <v>155</v>
      </c>
      <c r="C326" s="569" t="s">
        <v>150</v>
      </c>
      <c r="D326" s="164" t="s">
        <v>320</v>
      </c>
      <c r="E326" s="228" t="e">
        <f>'Apports récupérables CH (6)'!E91</f>
        <v>#N/A</v>
      </c>
      <c r="F326" s="135" t="s">
        <v>114</v>
      </c>
      <c r="G326" s="222" t="e">
        <f>"("&amp;ROUND(E326/1000,3)&amp;" kWh)"</f>
        <v>#N/A</v>
      </c>
    </row>
    <row r="327" spans="1:7" ht="15" customHeight="1" thickBot="1">
      <c r="A327" s="561"/>
      <c r="B327" s="561"/>
      <c r="C327" s="570"/>
      <c r="D327" s="63" t="s">
        <v>330</v>
      </c>
      <c r="E327" s="87" t="e">
        <f>IF(E326=0,0,(E100*E93)/((E100*E93)+E326))</f>
        <v>#N/A</v>
      </c>
      <c r="F327" s="217" t="s">
        <v>203</v>
      </c>
      <c r="G327" s="224" t="e">
        <f>"("&amp;ROUND(E327*100,3)&amp;" %)"</f>
        <v>#N/A</v>
      </c>
    </row>
    <row r="328" spans="1:7" ht="15" customHeight="1">
      <c r="A328" s="561"/>
      <c r="B328" s="561"/>
      <c r="C328" s="569" t="s">
        <v>154</v>
      </c>
      <c r="D328" s="164" t="s">
        <v>320</v>
      </c>
      <c r="E328" s="229" t="e">
        <f>'Apports récupérables CH (6)'!E101</f>
        <v>#N/A</v>
      </c>
      <c r="F328" s="135" t="s">
        <v>114</v>
      </c>
      <c r="G328" s="222" t="e">
        <f>"("&amp;ROUND(E328/1000,3)&amp;" kWh)"</f>
        <v>#N/A</v>
      </c>
    </row>
    <row r="329" spans="1:7" ht="15" customHeight="1" thickBot="1">
      <c r="A329" s="561"/>
      <c r="B329" s="561"/>
      <c r="C329" s="570"/>
      <c r="D329" s="63" t="s">
        <v>330</v>
      </c>
      <c r="E329" s="166" t="e">
        <f>IF(E328=0,0,(E116*E109)/((E116*E109)+E328))</f>
        <v>#N/A</v>
      </c>
      <c r="F329" s="217" t="s">
        <v>203</v>
      </c>
      <c r="G329" s="224" t="e">
        <f>"("&amp;ROUND(E329*100,3)&amp;" %)"</f>
        <v>#N/A</v>
      </c>
    </row>
    <row r="330" spans="1:7" ht="15" customHeight="1">
      <c r="A330" s="561"/>
      <c r="B330" s="457"/>
      <c r="C330" s="573" t="s">
        <v>331</v>
      </c>
      <c r="D330" s="574"/>
      <c r="E330" s="225" t="e">
        <f>E326+E328</f>
        <v>#N/A</v>
      </c>
      <c r="F330" s="203" t="s">
        <v>114</v>
      </c>
      <c r="G330" s="226" t="e">
        <f>"("&amp;ROUND(E330/1000,3)&amp;" kWh)"</f>
        <v>#N/A</v>
      </c>
    </row>
    <row r="331" spans="1:7" ht="15" customHeight="1" thickBot="1">
      <c r="A331" s="568"/>
      <c r="B331" s="567"/>
      <c r="C331" s="565" t="s">
        <v>332</v>
      </c>
      <c r="D331" s="566"/>
      <c r="E331" s="230" t="e">
        <f>IF(E330=0,0,((E100*E93)+(E116*E109))/(((E100*E93)+(E116*E109))+E330))</f>
        <v>#N/A</v>
      </c>
      <c r="F331" s="217" t="s">
        <v>203</v>
      </c>
      <c r="G331" s="224" t="e">
        <f>"("&amp;ROUND(E331*100,3)&amp;" %)"</f>
        <v>#N/A</v>
      </c>
    </row>
    <row r="332" spans="1:7" ht="15" customHeight="1">
      <c r="A332" s="560" t="s">
        <v>326</v>
      </c>
      <c r="B332" s="560" t="s">
        <v>155</v>
      </c>
      <c r="C332" s="569" t="s">
        <v>150</v>
      </c>
      <c r="D332" s="164" t="s">
        <v>320</v>
      </c>
      <c r="E332" s="229" t="e">
        <f>'Apports récupérables CH (6)'!E113</f>
        <v>#N/A</v>
      </c>
      <c r="F332" s="135" t="s">
        <v>114</v>
      </c>
      <c r="G332" s="222" t="e">
        <f>"("&amp;ROUND(E332/1000,3)&amp;" kWh)"</f>
        <v>#N/A</v>
      </c>
    </row>
    <row r="333" spans="1:7" ht="15" customHeight="1" thickBot="1">
      <c r="A333" s="561"/>
      <c r="B333" s="561"/>
      <c r="C333" s="570"/>
      <c r="D333" s="63" t="s">
        <v>330</v>
      </c>
      <c r="E333" s="166" t="e">
        <f>IF(E332=0,0,(E136*E129)/((E136*E129)+E332))</f>
        <v>#N/A</v>
      </c>
      <c r="F333" s="217" t="s">
        <v>203</v>
      </c>
      <c r="G333" s="224" t="e">
        <f>"("&amp;ROUND(E333*100,3)&amp;" %)"</f>
        <v>#N/A</v>
      </c>
    </row>
    <row r="334" spans="1:7" ht="15" customHeight="1">
      <c r="A334" s="561"/>
      <c r="B334" s="561"/>
      <c r="C334" s="569" t="s">
        <v>154</v>
      </c>
      <c r="D334" s="164" t="s">
        <v>320</v>
      </c>
      <c r="E334" s="229" t="e">
        <f>'Apports récupérables CH (6)'!E123</f>
        <v>#N/A</v>
      </c>
      <c r="F334" s="135" t="s">
        <v>114</v>
      </c>
      <c r="G334" s="222" t="e">
        <f>"("&amp;ROUND(E334/1000,3)&amp;" kWh)"</f>
        <v>#N/A</v>
      </c>
    </row>
    <row r="335" spans="1:7" ht="15" customHeight="1" thickBot="1">
      <c r="A335" s="561"/>
      <c r="B335" s="561"/>
      <c r="C335" s="570"/>
      <c r="D335" s="63" t="s">
        <v>330</v>
      </c>
      <c r="E335" s="166" t="e">
        <f>IF(E334=0,0,(E152*E145)/((E152*E145)+E334))</f>
        <v>#N/A</v>
      </c>
      <c r="F335" s="217" t="s">
        <v>203</v>
      </c>
      <c r="G335" s="224" t="e">
        <f>"("&amp;ROUND(E335*100,3)&amp;" %)"</f>
        <v>#N/A</v>
      </c>
    </row>
    <row r="336" spans="1:7" ht="15" customHeight="1">
      <c r="A336" s="561"/>
      <c r="B336" s="457"/>
      <c r="C336" s="573" t="s">
        <v>331</v>
      </c>
      <c r="D336" s="574"/>
      <c r="E336" s="225" t="e">
        <f>E332+E334</f>
        <v>#N/A</v>
      </c>
      <c r="F336" s="203" t="s">
        <v>114</v>
      </c>
      <c r="G336" s="226" t="e">
        <f>"("&amp;ROUND(E336/1000,3)&amp;" kWh)"</f>
        <v>#N/A</v>
      </c>
    </row>
    <row r="337" spans="1:7" ht="15" customHeight="1" thickBot="1">
      <c r="A337" s="568"/>
      <c r="B337" s="567"/>
      <c r="C337" s="565" t="s">
        <v>332</v>
      </c>
      <c r="D337" s="566"/>
      <c r="E337" s="166" t="e">
        <f>IF(E336=0,0,((E136*E129)+(E152*E145))/(((E136*E129)+(E152*E145))+E336))</f>
        <v>#N/A</v>
      </c>
      <c r="F337" s="217" t="s">
        <v>203</v>
      </c>
      <c r="G337" s="224" t="e">
        <f>"("&amp;ROUND(E337*100,3)&amp;" %)"</f>
        <v>#N/A</v>
      </c>
    </row>
    <row r="338" spans="1:7" ht="15" customHeight="1">
      <c r="A338" s="560" t="s">
        <v>327</v>
      </c>
      <c r="B338" s="560" t="s">
        <v>155</v>
      </c>
      <c r="C338" s="571" t="s">
        <v>150</v>
      </c>
      <c r="D338" s="164" t="s">
        <v>320</v>
      </c>
      <c r="E338" s="229" t="e">
        <f>'Apports récupérables CH (6)'!E135</f>
        <v>#N/A</v>
      </c>
      <c r="F338" s="164" t="s">
        <v>114</v>
      </c>
      <c r="G338" s="222" t="e">
        <f>"("&amp;ROUND(E338/1000,3)&amp;" kWh)"</f>
        <v>#N/A</v>
      </c>
    </row>
    <row r="339" spans="1:7" ht="15" customHeight="1" thickBot="1">
      <c r="A339" s="561"/>
      <c r="B339" s="561"/>
      <c r="C339" s="572"/>
      <c r="D339" s="63" t="s">
        <v>330</v>
      </c>
      <c r="E339" s="166" t="e">
        <f>IF(E338=0,0,(E172*E165)/((E172*E165)+E338))</f>
        <v>#N/A</v>
      </c>
      <c r="F339" s="63" t="s">
        <v>203</v>
      </c>
      <c r="G339" s="224" t="e">
        <f>"("&amp;ROUND(E339*100,3)&amp;" %)"</f>
        <v>#N/A</v>
      </c>
    </row>
    <row r="340" spans="1:7" ht="15" customHeight="1">
      <c r="A340" s="561"/>
      <c r="B340" s="561"/>
      <c r="C340" s="571" t="s">
        <v>154</v>
      </c>
      <c r="D340" s="164" t="s">
        <v>320</v>
      </c>
      <c r="E340" s="229" t="e">
        <f>'Apports récupérables CH (6)'!E145</f>
        <v>#N/A</v>
      </c>
      <c r="F340" s="164" t="s">
        <v>114</v>
      </c>
      <c r="G340" s="222" t="e">
        <f>"("&amp;ROUND(E340/1000,3)&amp;" kWh)"</f>
        <v>#N/A</v>
      </c>
    </row>
    <row r="341" spans="1:7" ht="15" customHeight="1" thickBot="1">
      <c r="A341" s="561"/>
      <c r="B341" s="561"/>
      <c r="C341" s="572"/>
      <c r="D341" s="63" t="s">
        <v>330</v>
      </c>
      <c r="E341" s="166" t="e">
        <f>IF(E340=0,0,(E188*E181)/((E188*E181)+E340))</f>
        <v>#N/A</v>
      </c>
      <c r="F341" s="63" t="s">
        <v>203</v>
      </c>
      <c r="G341" s="224" t="e">
        <f>"("&amp;ROUND(E341*100,3)&amp;" %)"</f>
        <v>#N/A</v>
      </c>
    </row>
    <row r="342" spans="1:7" ht="15" customHeight="1">
      <c r="A342" s="561"/>
      <c r="B342" s="457"/>
      <c r="C342" s="573" t="s">
        <v>331</v>
      </c>
      <c r="D342" s="574"/>
      <c r="E342" s="225" t="e">
        <f>E338+E340</f>
        <v>#N/A</v>
      </c>
      <c r="F342" s="131" t="s">
        <v>114</v>
      </c>
      <c r="G342" s="226" t="e">
        <f>"("&amp;ROUND(E342/1000,3)&amp;" kWh)"</f>
        <v>#N/A</v>
      </c>
    </row>
    <row r="343" spans="1:7" ht="15" customHeight="1" thickBot="1">
      <c r="A343" s="568"/>
      <c r="B343" s="567"/>
      <c r="C343" s="565" t="s">
        <v>332</v>
      </c>
      <c r="D343" s="566"/>
      <c r="E343" s="166" t="e">
        <f>IF(E342=0,0,((E172*E165)+(E188*E181))/(((E172*E165)+(E188*E181))+E342))</f>
        <v>#N/A</v>
      </c>
      <c r="F343" s="63" t="s">
        <v>203</v>
      </c>
      <c r="G343" s="224" t="e">
        <f>"("&amp;ROUND(E343*100,3)&amp;" %)"</f>
        <v>#N/A</v>
      </c>
    </row>
    <row r="344" spans="1:7" ht="15" customHeight="1">
      <c r="A344" s="560" t="s">
        <v>328</v>
      </c>
      <c r="B344" s="560" t="s">
        <v>155</v>
      </c>
      <c r="C344" s="571" t="s">
        <v>150</v>
      </c>
      <c r="D344" s="164" t="s">
        <v>320</v>
      </c>
      <c r="E344" s="228" t="e">
        <f>'Apports récupérables CH (6)'!E157</f>
        <v>#N/A</v>
      </c>
      <c r="F344" s="164" t="s">
        <v>114</v>
      </c>
      <c r="G344" s="222" t="e">
        <f>"("&amp;ROUND(E344/1000,3)&amp;" kWh)"</f>
        <v>#N/A</v>
      </c>
    </row>
    <row r="345" spans="1:7" ht="15" customHeight="1" thickBot="1">
      <c r="A345" s="561"/>
      <c r="B345" s="561"/>
      <c r="C345" s="572"/>
      <c r="D345" s="63" t="s">
        <v>330</v>
      </c>
      <c r="E345" s="87" t="e">
        <f>IF(E344=0,0,(E208*E201)/((E208*E201)+E344))</f>
        <v>#N/A</v>
      </c>
      <c r="F345" s="63" t="s">
        <v>203</v>
      </c>
      <c r="G345" s="224" t="e">
        <f>"("&amp;ROUND(E345*100,3)&amp;" %)"</f>
        <v>#N/A</v>
      </c>
    </row>
    <row r="346" spans="1:7" ht="15" customHeight="1">
      <c r="A346" s="561"/>
      <c r="B346" s="561"/>
      <c r="C346" s="571" t="s">
        <v>154</v>
      </c>
      <c r="D346" s="164" t="s">
        <v>320</v>
      </c>
      <c r="E346" s="228" t="e">
        <f>'Apports récupérables CH (6)'!E167</f>
        <v>#N/A</v>
      </c>
      <c r="F346" s="164" t="s">
        <v>114</v>
      </c>
      <c r="G346" s="222" t="e">
        <f>"("&amp;ROUND(E346/1000,3)&amp;" kWh)"</f>
        <v>#N/A</v>
      </c>
    </row>
    <row r="347" spans="1:7" ht="15" customHeight="1" thickBot="1">
      <c r="A347" s="561"/>
      <c r="B347" s="561"/>
      <c r="C347" s="572"/>
      <c r="D347" s="63" t="s">
        <v>330</v>
      </c>
      <c r="E347" s="87" t="e">
        <f>IF(E346=0,0,(E224*E217)/((E224*E217)+E346))</f>
        <v>#N/A</v>
      </c>
      <c r="F347" s="63" t="s">
        <v>203</v>
      </c>
      <c r="G347" s="224" t="e">
        <f>"("&amp;ROUND(E347*100,3)&amp;" %)"</f>
        <v>#N/A</v>
      </c>
    </row>
    <row r="348" spans="1:7" ht="15" customHeight="1">
      <c r="A348" s="561"/>
      <c r="B348" s="457"/>
      <c r="C348" s="573" t="s">
        <v>331</v>
      </c>
      <c r="D348" s="574"/>
      <c r="E348" s="225" t="e">
        <f>E344+E346</f>
        <v>#N/A</v>
      </c>
      <c r="F348" s="131" t="s">
        <v>114</v>
      </c>
      <c r="G348" s="226" t="e">
        <f>"("&amp;ROUND(E348/1000,3)&amp;" kWh)"</f>
        <v>#N/A</v>
      </c>
    </row>
    <row r="349" spans="1:7" ht="15" customHeight="1" thickBot="1">
      <c r="A349" s="568"/>
      <c r="B349" s="567"/>
      <c r="C349" s="565" t="s">
        <v>332</v>
      </c>
      <c r="D349" s="566"/>
      <c r="E349" s="87" t="e">
        <f>IF(E348=0,0,((E208*E201)+(E224*E217))/(((E208*E201)+(E224*E217))+E348))</f>
        <v>#N/A</v>
      </c>
      <c r="F349" s="63" t="s">
        <v>203</v>
      </c>
      <c r="G349" s="224" t="e">
        <f>"("&amp;ROUND(E349*100,3)&amp;" %)"</f>
        <v>#N/A</v>
      </c>
    </row>
    <row r="350" spans="1:7" ht="15" customHeight="1">
      <c r="A350" s="560" t="s">
        <v>329</v>
      </c>
      <c r="B350" s="560" t="s">
        <v>155</v>
      </c>
      <c r="C350" s="571" t="s">
        <v>150</v>
      </c>
      <c r="D350" s="164" t="s">
        <v>320</v>
      </c>
      <c r="E350" s="228" t="e">
        <f>'Apports récupérables CH (6)'!E179</f>
        <v>#N/A</v>
      </c>
      <c r="F350" s="164" t="s">
        <v>114</v>
      </c>
      <c r="G350" s="222" t="e">
        <f>"("&amp;ROUND(E350/1000,3)&amp;" kWh)"</f>
        <v>#N/A</v>
      </c>
    </row>
    <row r="351" spans="1:7" ht="15" customHeight="1" thickBot="1">
      <c r="A351" s="561"/>
      <c r="B351" s="561"/>
      <c r="C351" s="572"/>
      <c r="D351" s="63" t="s">
        <v>330</v>
      </c>
      <c r="E351" s="87" t="e">
        <f>IF(E350=0,0,(E244*E237)/((E244*E237)+E350))</f>
        <v>#N/A</v>
      </c>
      <c r="F351" s="63" t="s">
        <v>203</v>
      </c>
      <c r="G351" s="224" t="e">
        <f>"("&amp;ROUND(E351*100,3)&amp;" %)"</f>
        <v>#N/A</v>
      </c>
    </row>
    <row r="352" spans="1:7" ht="15" customHeight="1">
      <c r="A352" s="561"/>
      <c r="B352" s="561"/>
      <c r="C352" s="571" t="s">
        <v>154</v>
      </c>
      <c r="D352" s="164" t="s">
        <v>320</v>
      </c>
      <c r="E352" s="228" t="e">
        <f>'Apports récupérables CH (6)'!E189</f>
        <v>#N/A</v>
      </c>
      <c r="F352" s="164" t="s">
        <v>114</v>
      </c>
      <c r="G352" s="222" t="e">
        <f>"("&amp;ROUND(E352/1000,3)&amp;" kWh)"</f>
        <v>#N/A</v>
      </c>
    </row>
    <row r="353" spans="1:7" ht="15" customHeight="1" thickBot="1">
      <c r="A353" s="551"/>
      <c r="B353" s="551"/>
      <c r="C353" s="341"/>
      <c r="D353" s="63" t="s">
        <v>330</v>
      </c>
      <c r="E353" s="87" t="e">
        <f>IF(E352=0,0,(E260*E253)/((E260*E253)+E352))</f>
        <v>#N/A</v>
      </c>
      <c r="F353" s="63" t="s">
        <v>203</v>
      </c>
      <c r="G353" s="224" t="e">
        <f>"("&amp;ROUND(E353*100,3)&amp;" %)"</f>
        <v>#N/A</v>
      </c>
    </row>
    <row r="354" spans="1:7" ht="15" customHeight="1">
      <c r="A354" s="551"/>
      <c r="B354" s="384"/>
      <c r="C354" s="573" t="s">
        <v>331</v>
      </c>
      <c r="D354" s="574"/>
      <c r="E354" s="225" t="e">
        <f>E350+E352</f>
        <v>#N/A</v>
      </c>
      <c r="F354" s="52" t="s">
        <v>114</v>
      </c>
      <c r="G354" s="231" t="e">
        <f>"("&amp;ROUND(E354/1000,3)&amp;" kWh)"</f>
        <v>#N/A</v>
      </c>
    </row>
    <row r="355" spans="1:7" ht="15" customHeight="1" thickBot="1">
      <c r="A355" s="448"/>
      <c r="B355" s="473"/>
      <c r="C355" s="565" t="s">
        <v>332</v>
      </c>
      <c r="D355" s="566"/>
      <c r="E355" s="87" t="e">
        <f>IF(E354=0,0,((E244*E237)+(E260*E253))/(((E244*E237)+(E260*E253))+E354))</f>
        <v>#N/A</v>
      </c>
      <c r="F355" s="63" t="s">
        <v>203</v>
      </c>
      <c r="G355" s="224" t="e">
        <f>"("&amp;ROUND(E355*100,3)&amp;" %)"</f>
        <v>#N/A</v>
      </c>
    </row>
    <row r="356" spans="1:7" ht="15" customHeight="1" thickBot="1">
      <c r="A356" s="381"/>
      <c r="B356" s="382"/>
      <c r="C356" s="382"/>
      <c r="D356" s="382"/>
      <c r="E356" s="382"/>
      <c r="F356" s="382"/>
      <c r="G356" s="383"/>
    </row>
    <row r="357" spans="1:7" ht="15" customHeight="1">
      <c r="A357" s="301" t="s">
        <v>220</v>
      </c>
      <c r="B357" s="302"/>
      <c r="C357" s="302"/>
      <c r="D357" s="302"/>
      <c r="E357" s="302"/>
      <c r="F357" s="302"/>
      <c r="G357" s="303"/>
    </row>
    <row r="358" spans="1:7" ht="15" customHeight="1">
      <c r="A358" s="308" t="s">
        <v>333</v>
      </c>
      <c r="B358" s="350"/>
      <c r="C358" s="58" t="e">
        <f>'Apports récupérables CH (6)'!C199</f>
        <v>#N/A</v>
      </c>
      <c r="D358" s="57" t="s">
        <v>114</v>
      </c>
      <c r="E358" s="181" t="e">
        <f>"("&amp;ROUND(C358/1000,3)&amp;" kWh)"</f>
        <v>#N/A</v>
      </c>
      <c r="F358" s="350"/>
      <c r="G358" s="316"/>
    </row>
    <row r="359" spans="1:7" ht="15" customHeight="1" thickBot="1">
      <c r="A359" s="341" t="s">
        <v>335</v>
      </c>
      <c r="B359" s="342"/>
      <c r="C359" s="76" t="e">
        <f>IF(C358=0,0,C275/(C275+C358))</f>
        <v>#N/A</v>
      </c>
      <c r="D359" s="174" t="s">
        <v>203</v>
      </c>
      <c r="E359" s="182" t="e">
        <f>"("&amp;ROUND(C359*100,3)&amp;" %)"</f>
        <v>#N/A</v>
      </c>
      <c r="F359" s="342"/>
      <c r="G359" s="315"/>
    </row>
    <row r="360" spans="1:7" ht="15" customHeight="1" thickBot="1">
      <c r="A360" s="381"/>
      <c r="B360" s="382"/>
      <c r="C360" s="382"/>
      <c r="D360" s="382"/>
      <c r="E360" s="382"/>
      <c r="F360" s="382"/>
      <c r="G360" s="383"/>
    </row>
    <row r="361" spans="1:7" ht="15" customHeight="1">
      <c r="A361" s="301" t="s">
        <v>165</v>
      </c>
      <c r="B361" s="302"/>
      <c r="C361" s="302"/>
      <c r="D361" s="302"/>
      <c r="E361" s="302"/>
      <c r="F361" s="302"/>
      <c r="G361" s="303"/>
    </row>
    <row r="362" spans="1:7" ht="15" customHeight="1">
      <c r="A362" s="308" t="s">
        <v>366</v>
      </c>
      <c r="B362" s="350"/>
      <c r="C362" s="74">
        <f>C280</f>
        <v>0</v>
      </c>
      <c r="D362" s="52" t="s">
        <v>164</v>
      </c>
      <c r="E362" s="52"/>
      <c r="F362" s="350"/>
      <c r="G362" s="316"/>
    </row>
    <row r="363" spans="1:7" ht="15" customHeight="1">
      <c r="A363" s="308" t="s">
        <v>336</v>
      </c>
      <c r="B363" s="350"/>
      <c r="C363" s="58" t="e">
        <f>'Apports récupérables CH (6)'!C214</f>
        <v>#N/A</v>
      </c>
      <c r="D363" s="57" t="s">
        <v>114</v>
      </c>
      <c r="E363" s="181" t="e">
        <f>"("&amp;ROUND(C363/1000,3)&amp;" kWh)"</f>
        <v>#N/A</v>
      </c>
      <c r="F363" s="350"/>
      <c r="G363" s="316"/>
    </row>
    <row r="364" spans="1:7" ht="15" customHeight="1" thickBot="1">
      <c r="A364" s="341" t="s">
        <v>337</v>
      </c>
      <c r="B364" s="342"/>
      <c r="C364" s="76" t="e">
        <f>IF(((C287*24*C362)+C363)=0,0,IF(C362&gt;0,(C287*24*C362)/((C287*24*C362)+C363),0))</f>
        <v>#N/A</v>
      </c>
      <c r="D364" s="174" t="s">
        <v>203</v>
      </c>
      <c r="E364" s="182" t="e">
        <f>"("&amp;ROUND(C364*100,3)&amp;" %)"</f>
        <v>#N/A</v>
      </c>
      <c r="F364" s="342"/>
      <c r="G364" s="315"/>
    </row>
    <row r="365" spans="1:7" ht="15" customHeight="1" thickBot="1">
      <c r="A365" s="381"/>
      <c r="B365" s="382"/>
      <c r="C365" s="382"/>
      <c r="D365" s="382"/>
      <c r="E365" s="382"/>
      <c r="F365" s="382"/>
      <c r="G365" s="383"/>
    </row>
    <row r="366" spans="1:7" ht="15" customHeight="1">
      <c r="A366" s="301" t="str">
        <f>"Valeurs pour le mois "&amp;IF(OR($C$4="avril",$C$4="août",$C$4="octobre"),"d'","de ")&amp;IF(C4&lt;&gt;0,C4,"")</f>
        <v>Valeurs pour le mois de </v>
      </c>
      <c r="B366" s="302"/>
      <c r="C366" s="302"/>
      <c r="D366" s="302"/>
      <c r="E366" s="302"/>
      <c r="F366" s="302"/>
      <c r="G366" s="303"/>
    </row>
    <row r="367" spans="1:7" ht="15" customHeight="1">
      <c r="A367" s="308" t="str">
        <f>"Pertes thermiques de distribution pour le mois "&amp;IF(OR($C$4="avril",$C$4="août",$C$4="octobre"),"d'","de ")&amp;IF(C4&lt;&gt;0,C4,"")&amp;" :"</f>
        <v>Pertes thermiques de distribution pour le mois de  :</v>
      </c>
      <c r="B367" s="350"/>
      <c r="C367" s="61" t="e">
        <f>'Apports récupérables CH (6)'!C221</f>
        <v>#N/A</v>
      </c>
      <c r="D367" s="60" t="s">
        <v>114</v>
      </c>
      <c r="E367" s="184" t="e">
        <f>"("&amp;ROUND(C367/1000,3)&amp;" kWh)"</f>
        <v>#N/A</v>
      </c>
      <c r="F367" s="350"/>
      <c r="G367" s="316"/>
    </row>
    <row r="368" spans="1:7" ht="15" customHeight="1" thickBot="1">
      <c r="A368" s="341" t="str">
        <f>"Rendement de distribution pour le mois "&amp;IF(OR($C$4="avril",$C$4="août",$C$4="octobre"),"d'","de ")&amp;IF(C4&lt;&gt;0,C4,"")&amp;" :"</f>
        <v>Rendement de distribution pour le mois de  :</v>
      </c>
      <c r="B368" s="342"/>
      <c r="C368" s="65" t="e">
        <f>IF(C367=0,0,C305/(C305+C367))</f>
        <v>#N/A</v>
      </c>
      <c r="D368" s="64" t="s">
        <v>203</v>
      </c>
      <c r="E368" s="185" t="e">
        <f>"("&amp;ROUND(C368*100,3)&amp;" %)"</f>
        <v>#N/A</v>
      </c>
      <c r="F368" s="342"/>
      <c r="G368" s="315"/>
    </row>
    <row r="369" spans="1:7" ht="12.75">
      <c r="A369" s="555"/>
      <c r="B369" s="556"/>
      <c r="C369" s="556"/>
      <c r="D369" s="556"/>
      <c r="E369" s="556"/>
      <c r="F369" s="556"/>
      <c r="G369" s="557"/>
    </row>
    <row r="370" spans="1:7" ht="13.5" thickBot="1">
      <c r="A370" s="558"/>
      <c r="B370" s="559"/>
      <c r="C370" s="559"/>
      <c r="D370" s="559"/>
      <c r="E370" s="559"/>
      <c r="F370" s="559"/>
      <c r="G370" s="348"/>
    </row>
    <row r="371" spans="1:7" ht="16.5" thickBot="1">
      <c r="A371" s="543" t="s">
        <v>380</v>
      </c>
      <c r="B371" s="544"/>
      <c r="C371" s="544"/>
      <c r="D371" s="544"/>
      <c r="E371" s="544"/>
      <c r="F371" s="437"/>
      <c r="G371" s="438"/>
    </row>
    <row r="372" spans="1:7" ht="13.5" thickBot="1">
      <c r="A372" s="558"/>
      <c r="B372" s="559"/>
      <c r="C372" s="559"/>
      <c r="D372" s="559"/>
      <c r="E372" s="559"/>
      <c r="F372" s="559"/>
      <c r="G372" s="348"/>
    </row>
    <row r="373" spans="1:7" ht="12.75">
      <c r="A373" s="588" t="str">
        <f>"Pertes thermiques totales pour le mois "&amp;IF(OR($C$4="avril",$C$4="août",$C$4="octobre"),"d'","de ")&amp;IF(C4&lt;&gt;0,C4,"")&amp;" :"</f>
        <v>Pertes thermiques totales pour le mois de  :</v>
      </c>
      <c r="B373" s="589"/>
      <c r="C373" s="232" t="e">
        <f>C307+C367</f>
        <v>#N/A</v>
      </c>
      <c r="D373" s="233" t="s">
        <v>114</v>
      </c>
      <c r="E373" s="234" t="e">
        <f>"("&amp;ROUND(C373/1000,3)&amp;" kWh)"</f>
        <v>#N/A</v>
      </c>
      <c r="F373" s="589"/>
      <c r="G373" s="590"/>
    </row>
    <row r="374" spans="1:7" ht="12.75">
      <c r="A374" s="351" t="str">
        <f>"Besoins thermiques totaux pour le mois "&amp;IF(OR($C$4="avril",$C$4="août",$C$4="octobre"),"d'","de ")&amp;IF(C4&lt;&gt;0,C4,"")&amp;" :"</f>
        <v>Besoins thermiques totaux pour le mois de  :</v>
      </c>
      <c r="B374" s="552"/>
      <c r="C374" s="236" t="e">
        <f>C305</f>
        <v>#N/A</v>
      </c>
      <c r="D374" s="60" t="s">
        <v>114</v>
      </c>
      <c r="E374" s="184" t="e">
        <f>"("&amp;ROUND(C374/1000,3)&amp;" kWh)"</f>
        <v>#N/A</v>
      </c>
      <c r="F374" s="369"/>
      <c r="G374" s="427"/>
    </row>
    <row r="375" spans="1:7" ht="13.5" thickBot="1">
      <c r="A375" s="553" t="str">
        <f>"Rendement global du système de chauffage pour le mois "&amp;IF(OR($C$4="avril",$C$4="août",$C$4="octobre"),"d'","de ")&amp;IF(C4&lt;&gt;0,C4,"")&amp;" :"</f>
        <v>Rendement global du système de chauffage pour le mois de  :</v>
      </c>
      <c r="B375" s="554"/>
      <c r="C375" s="239" t="e">
        <f>IF(OR(C373=0,C374=0),0,C374/(C374+C373))</f>
        <v>#N/A</v>
      </c>
      <c r="D375" s="64" t="s">
        <v>203</v>
      </c>
      <c r="E375" s="185" t="e">
        <f>"("&amp;ROUND(C375*100,3)&amp;" %)"</f>
        <v>#N/A</v>
      </c>
      <c r="F375" s="428"/>
      <c r="G375" s="429"/>
    </row>
  </sheetData>
  <sheetProtection sheet="1" objects="1" scenarios="1" selectLockedCells="1"/>
  <mergeCells count="196">
    <mergeCell ref="A306:E306"/>
    <mergeCell ref="A371:G371"/>
    <mergeCell ref="A372:G372"/>
    <mergeCell ref="A373:B373"/>
    <mergeCell ref="F373:G375"/>
    <mergeCell ref="A307:B307"/>
    <mergeCell ref="A308:B308"/>
    <mergeCell ref="F300:G308"/>
    <mergeCell ref="C355:D355"/>
    <mergeCell ref="C338:C339"/>
    <mergeCell ref="A304:B304"/>
    <mergeCell ref="A313:G313"/>
    <mergeCell ref="A361:G361"/>
    <mergeCell ref="A357:G357"/>
    <mergeCell ref="A358:B358"/>
    <mergeCell ref="F358:G359"/>
    <mergeCell ref="A359:B359"/>
    <mergeCell ref="A356:G356"/>
    <mergeCell ref="A311:G311"/>
    <mergeCell ref="A305:B305"/>
    <mergeCell ref="A293:B293"/>
    <mergeCell ref="A294:B294"/>
    <mergeCell ref="A295:B295"/>
    <mergeCell ref="A287:B287"/>
    <mergeCell ref="A289:B289"/>
    <mergeCell ref="A290:B290"/>
    <mergeCell ref="A291:B291"/>
    <mergeCell ref="G236:G238"/>
    <mergeCell ref="C252:C267"/>
    <mergeCell ref="G252:G254"/>
    <mergeCell ref="B268:D268"/>
    <mergeCell ref="C236:C251"/>
    <mergeCell ref="E9:G9"/>
    <mergeCell ref="A272:G272"/>
    <mergeCell ref="A297:G297"/>
    <mergeCell ref="A300:A303"/>
    <mergeCell ref="A278:G278"/>
    <mergeCell ref="A277:B277"/>
    <mergeCell ref="A279:G279"/>
    <mergeCell ref="A280:B280"/>
    <mergeCell ref="A296:G296"/>
    <mergeCell ref="E298:G299"/>
    <mergeCell ref="B88:D88"/>
    <mergeCell ref="G36:G38"/>
    <mergeCell ref="A18:G18"/>
    <mergeCell ref="G10:G11"/>
    <mergeCell ref="G20:G22"/>
    <mergeCell ref="A19:G19"/>
    <mergeCell ref="E12:G17"/>
    <mergeCell ref="A12:B12"/>
    <mergeCell ref="A14:B14"/>
    <mergeCell ref="A15:B15"/>
    <mergeCell ref="B52:D52"/>
    <mergeCell ref="B53:D53"/>
    <mergeCell ref="C20:C35"/>
    <mergeCell ref="B20:B51"/>
    <mergeCell ref="C36:C51"/>
    <mergeCell ref="A1:G1"/>
    <mergeCell ref="A2:G2"/>
    <mergeCell ref="A10:B10"/>
    <mergeCell ref="A9:B9"/>
    <mergeCell ref="A7:B7"/>
    <mergeCell ref="E3:G7"/>
    <mergeCell ref="A6:B6"/>
    <mergeCell ref="A3:B3"/>
    <mergeCell ref="A4:B4"/>
    <mergeCell ref="A5:B5"/>
    <mergeCell ref="A8:G8"/>
    <mergeCell ref="B56:B87"/>
    <mergeCell ref="C56:C71"/>
    <mergeCell ref="G56:G58"/>
    <mergeCell ref="C72:C87"/>
    <mergeCell ref="G72:G74"/>
    <mergeCell ref="A56:A91"/>
    <mergeCell ref="A20:A55"/>
    <mergeCell ref="B55:D55"/>
    <mergeCell ref="B54:D54"/>
    <mergeCell ref="B89:D89"/>
    <mergeCell ref="B90:D90"/>
    <mergeCell ref="B91:D91"/>
    <mergeCell ref="A92:A127"/>
    <mergeCell ref="B92:B123"/>
    <mergeCell ref="C92:C107"/>
    <mergeCell ref="B125:D125"/>
    <mergeCell ref="B126:D126"/>
    <mergeCell ref="B127:D127"/>
    <mergeCell ref="G92:G94"/>
    <mergeCell ref="C108:C123"/>
    <mergeCell ref="G108:G110"/>
    <mergeCell ref="B124:D124"/>
    <mergeCell ref="A128:A163"/>
    <mergeCell ref="B128:B159"/>
    <mergeCell ref="C128:C143"/>
    <mergeCell ref="G128:G130"/>
    <mergeCell ref="C144:C159"/>
    <mergeCell ref="G144:G146"/>
    <mergeCell ref="B160:D160"/>
    <mergeCell ref="B161:D161"/>
    <mergeCell ref="B162:D162"/>
    <mergeCell ref="B163:D163"/>
    <mergeCell ref="A164:A199"/>
    <mergeCell ref="B164:B195"/>
    <mergeCell ref="C164:C179"/>
    <mergeCell ref="G164:G166"/>
    <mergeCell ref="C180:C195"/>
    <mergeCell ref="G180:G182"/>
    <mergeCell ref="B196:D196"/>
    <mergeCell ref="B197:D197"/>
    <mergeCell ref="B198:D198"/>
    <mergeCell ref="B199:D199"/>
    <mergeCell ref="G200:G202"/>
    <mergeCell ref="C216:C231"/>
    <mergeCell ref="G216:G218"/>
    <mergeCell ref="B232:D232"/>
    <mergeCell ref="A200:A235"/>
    <mergeCell ref="B200:B231"/>
    <mergeCell ref="C200:C215"/>
    <mergeCell ref="B233:D233"/>
    <mergeCell ref="B234:D234"/>
    <mergeCell ref="B235:D235"/>
    <mergeCell ref="B269:D269"/>
    <mergeCell ref="B270:D270"/>
    <mergeCell ref="B271:D271"/>
    <mergeCell ref="A274:B274"/>
    <mergeCell ref="A236:A271"/>
    <mergeCell ref="B236:B267"/>
    <mergeCell ref="A273:G273"/>
    <mergeCell ref="F274:G277"/>
    <mergeCell ref="A275:B275"/>
    <mergeCell ref="A276:B276"/>
    <mergeCell ref="A298:B298"/>
    <mergeCell ref="F280:G295"/>
    <mergeCell ref="A281:B281"/>
    <mergeCell ref="A282:B282"/>
    <mergeCell ref="E280:E282"/>
    <mergeCell ref="A283:B283"/>
    <mergeCell ref="A284:B284"/>
    <mergeCell ref="A285:B285"/>
    <mergeCell ref="A286:B286"/>
    <mergeCell ref="A292:B292"/>
    <mergeCell ref="A299:B299"/>
    <mergeCell ref="B320:B325"/>
    <mergeCell ref="C330:D330"/>
    <mergeCell ref="B326:B331"/>
    <mergeCell ref="C324:D324"/>
    <mergeCell ref="C325:D325"/>
    <mergeCell ref="C331:D331"/>
    <mergeCell ref="A320:A325"/>
    <mergeCell ref="A326:A331"/>
    <mergeCell ref="C318:D318"/>
    <mergeCell ref="C337:D337"/>
    <mergeCell ref="C348:D348"/>
    <mergeCell ref="C349:D349"/>
    <mergeCell ref="B344:B349"/>
    <mergeCell ref="C342:D342"/>
    <mergeCell ref="C343:D343"/>
    <mergeCell ref="C344:C345"/>
    <mergeCell ref="C354:D354"/>
    <mergeCell ref="A350:A355"/>
    <mergeCell ref="A332:A337"/>
    <mergeCell ref="C326:C327"/>
    <mergeCell ref="C328:C329"/>
    <mergeCell ref="C332:C333"/>
    <mergeCell ref="A338:A343"/>
    <mergeCell ref="B338:B343"/>
    <mergeCell ref="C340:C341"/>
    <mergeCell ref="C336:D336"/>
    <mergeCell ref="C346:C347"/>
    <mergeCell ref="C350:C351"/>
    <mergeCell ref="C352:C353"/>
    <mergeCell ref="A344:A349"/>
    <mergeCell ref="B314:B319"/>
    <mergeCell ref="C334:C335"/>
    <mergeCell ref="C320:C321"/>
    <mergeCell ref="C322:C323"/>
    <mergeCell ref="C314:C315"/>
    <mergeCell ref="C316:C317"/>
    <mergeCell ref="A288:B288"/>
    <mergeCell ref="B350:B355"/>
    <mergeCell ref="A365:G365"/>
    <mergeCell ref="A312:G312"/>
    <mergeCell ref="A364:B364"/>
    <mergeCell ref="F362:G364"/>
    <mergeCell ref="A360:G360"/>
    <mergeCell ref="C319:D319"/>
    <mergeCell ref="B332:B337"/>
    <mergeCell ref="A314:A319"/>
    <mergeCell ref="A374:B374"/>
    <mergeCell ref="A375:B375"/>
    <mergeCell ref="A362:B362"/>
    <mergeCell ref="A369:G370"/>
    <mergeCell ref="F367:G368"/>
    <mergeCell ref="A367:B367"/>
    <mergeCell ref="A368:B368"/>
    <mergeCell ref="A366:G366"/>
    <mergeCell ref="A363:B363"/>
  </mergeCells>
  <dataValidations count="4">
    <dataValidation type="list" allowBlank="1" showInputMessage="1" showErrorMessage="1" sqref="B11">
      <formula1>"Standard,Basse température,Condensation"</formula1>
    </dataValidation>
    <dataValidation type="list" allowBlank="1" showInputMessage="1" showErrorMessage="1" sqref="B13">
      <formula1>"Atmosphérique,A air pulsé (soufflé)"</formula1>
    </dataValidation>
    <dataValidation type="list" allowBlank="1" showInputMessage="1" showErrorMessage="1" sqref="B16">
      <formula1>"Radiateurs,Planchers chauffants"</formula1>
    </dataValidation>
    <dataValidation type="list" allowBlank="1" showInputMessage="1" showErrorMessage="1" sqref="B17 D17">
      <formula1>"Oui,Non"</formula1>
    </dataValidation>
  </dataValidations>
  <printOptions/>
  <pageMargins left="0.75" right="0.75" top="1" bottom="1" header="0.4921259845" footer="0.4921259845"/>
  <pageSetup orientation="portrait" paperSize="9" r:id="rId1"/>
  <ignoredErrors>
    <ignoredError sqref="E11 G267 G51 G231 G195 G159 G123 G87" formula="1"/>
    <ignoredError sqref="E20:E21 E36 E56:E57 E72 E92:E93 E108 E128:E129 E144 E164:E165 E180 E200:E201 E216 E236:E237 E252 C281" unlockedFormula="1"/>
  </ignoredErrors>
</worksheet>
</file>

<file path=xl/worksheets/sheet11.xml><?xml version="1.0" encoding="utf-8"?>
<worksheet xmlns="http://schemas.openxmlformats.org/spreadsheetml/2006/main" xmlns:r="http://schemas.openxmlformats.org/officeDocument/2006/relationships">
  <sheetPr codeName="Feuil12"/>
  <dimension ref="A1:G155"/>
  <sheetViews>
    <sheetView showGridLines="0" workbookViewId="0" topLeftCell="A1">
      <selection activeCell="C11" sqref="C11"/>
    </sheetView>
  </sheetViews>
  <sheetFormatPr defaultColWidth="11.421875" defaultRowHeight="12.75"/>
  <cols>
    <col min="1" max="1" width="26.7109375" style="5" customWidth="1"/>
    <col min="2" max="2" width="63.00390625" style="5" customWidth="1"/>
    <col min="3" max="3" width="24.00390625" style="5" customWidth="1"/>
    <col min="4" max="4" width="24.140625" style="5" customWidth="1"/>
    <col min="5" max="5" width="16.00390625" style="5" customWidth="1"/>
    <col min="6" max="6" width="15.8515625" style="5" customWidth="1"/>
    <col min="7" max="16384" width="11.421875" style="5" customWidth="1"/>
  </cols>
  <sheetData>
    <row r="1" spans="1:6" ht="15" customHeight="1">
      <c r="A1" s="576" t="s">
        <v>347</v>
      </c>
      <c r="B1" s="577"/>
      <c r="C1" s="577"/>
      <c r="D1" s="577"/>
      <c r="E1" s="577"/>
      <c r="F1" s="286"/>
    </row>
    <row r="2" spans="1:6" ht="15" customHeight="1">
      <c r="A2" s="578"/>
      <c r="B2" s="350"/>
      <c r="C2" s="350"/>
      <c r="D2" s="350"/>
      <c r="E2" s="350"/>
      <c r="F2" s="316"/>
    </row>
    <row r="3" spans="1:6" ht="15" customHeight="1">
      <c r="A3" s="308" t="s">
        <v>504</v>
      </c>
      <c r="B3" s="350"/>
      <c r="C3" s="96">
        <f>'Logement (1)'!D3</f>
        <v>0</v>
      </c>
      <c r="D3" s="54" t="s">
        <v>4</v>
      </c>
      <c r="E3" s="595"/>
      <c r="F3" s="344"/>
    </row>
    <row r="4" spans="1:6" ht="15" customHeight="1">
      <c r="A4" s="308" t="s">
        <v>6</v>
      </c>
      <c r="B4" s="350"/>
      <c r="C4" s="96">
        <f>'Logement (1)'!D10</f>
        <v>0</v>
      </c>
      <c r="D4" s="54" t="s">
        <v>4</v>
      </c>
      <c r="E4" s="345"/>
      <c r="F4" s="346"/>
    </row>
    <row r="5" spans="1:6" ht="15" customHeight="1">
      <c r="A5" s="308" t="s">
        <v>99</v>
      </c>
      <c r="B5" s="350"/>
      <c r="C5" s="52">
        <f>'Besoins en ECS (9)'!C9</f>
        <v>0</v>
      </c>
      <c r="D5" s="52" t="s">
        <v>7</v>
      </c>
      <c r="E5" s="345"/>
      <c r="F5" s="346"/>
    </row>
    <row r="6" spans="1:6" ht="15" customHeight="1">
      <c r="A6" s="308" t="str">
        <f>"Température moyenne extérieure du mois "&amp;IF(OR(C4="avril",C4="août",C4="octobre"),"d'","de ")&amp;IF(C4&lt;&gt;0,C4,"")&amp;" :"</f>
        <v>Température moyenne extérieure du mois de  :</v>
      </c>
      <c r="B6" s="350"/>
      <c r="C6" s="52" t="e">
        <f>'Rendement chauffage (10)'!C6</f>
        <v>#N/A</v>
      </c>
      <c r="D6" s="52" t="s">
        <v>7</v>
      </c>
      <c r="E6" s="345"/>
      <c r="F6" s="346"/>
    </row>
    <row r="7" spans="1:6" ht="15" customHeight="1">
      <c r="A7" s="308" t="s">
        <v>131</v>
      </c>
      <c r="B7" s="350"/>
      <c r="C7" s="74">
        <f>'Logement (1)'!D8</f>
        <v>0</v>
      </c>
      <c r="D7" s="54" t="s">
        <v>4</v>
      </c>
      <c r="E7" s="345"/>
      <c r="F7" s="346"/>
    </row>
    <row r="8" spans="1:6" ht="15" customHeight="1">
      <c r="A8" s="433"/>
      <c r="B8" s="276"/>
      <c r="C8" s="74"/>
      <c r="D8" s="54"/>
      <c r="E8" s="442"/>
      <c r="F8" s="424"/>
    </row>
    <row r="9" spans="1:6" ht="15" customHeight="1">
      <c r="A9" s="308"/>
      <c r="B9" s="350"/>
      <c r="C9" s="350"/>
      <c r="D9" s="350"/>
      <c r="E9" s="350"/>
      <c r="F9" s="316"/>
    </row>
    <row r="10" spans="1:6" ht="15" customHeight="1">
      <c r="A10" s="308" t="s">
        <v>202</v>
      </c>
      <c r="B10" s="350"/>
      <c r="C10" s="74">
        <f>'Rendement chauffage (10)'!C9</f>
        <v>0</v>
      </c>
      <c r="D10" s="52" t="s">
        <v>12</v>
      </c>
      <c r="E10" s="350"/>
      <c r="F10" s="316"/>
    </row>
    <row r="11" spans="1:6" ht="15" customHeight="1">
      <c r="A11" s="433" t="s">
        <v>340</v>
      </c>
      <c r="B11" s="276"/>
      <c r="C11" s="42"/>
      <c r="D11" s="52" t="s">
        <v>77</v>
      </c>
      <c r="E11" s="350"/>
      <c r="F11" s="316"/>
    </row>
    <row r="12" spans="1:6" ht="15" customHeight="1">
      <c r="A12" s="308"/>
      <c r="B12" s="350"/>
      <c r="C12" s="132" t="s">
        <v>190</v>
      </c>
      <c r="D12" s="132" t="s">
        <v>191</v>
      </c>
      <c r="E12" s="132" t="s">
        <v>192</v>
      </c>
      <c r="F12" s="271" t="s">
        <v>193</v>
      </c>
    </row>
    <row r="13" spans="1:6" ht="15" customHeight="1">
      <c r="A13" s="50" t="s">
        <v>189</v>
      </c>
      <c r="B13" s="74">
        <f>'Rendement chauffage (10)'!B11</f>
        <v>0</v>
      </c>
      <c r="C13" s="52">
        <f>'Rendement chauffage (10)'!C11</f>
      </c>
      <c r="D13" s="52">
        <f>'Rendement chauffage (10)'!D11</f>
      </c>
      <c r="E13" s="52">
        <f>'Rendement chauffage (10)'!E11</f>
      </c>
      <c r="F13" s="55">
        <f>'Rendement chauffage (10)'!F11</f>
      </c>
    </row>
    <row r="14" spans="1:6" ht="15" customHeight="1">
      <c r="A14" s="308"/>
      <c r="B14" s="350"/>
      <c r="C14" s="132" t="s">
        <v>195</v>
      </c>
      <c r="D14" s="132" t="s">
        <v>196</v>
      </c>
      <c r="E14" s="350"/>
      <c r="F14" s="316"/>
    </row>
    <row r="15" spans="1:6" ht="15" customHeight="1">
      <c r="A15" s="134" t="s">
        <v>194</v>
      </c>
      <c r="B15" s="74">
        <f>'Rendement chauffage (10)'!B13</f>
        <v>0</v>
      </c>
      <c r="C15" s="74">
        <f>'Rendement chauffage (10)'!C13</f>
      </c>
      <c r="D15" s="74">
        <f>'Rendement chauffage (10)'!D13</f>
      </c>
      <c r="E15" s="350"/>
      <c r="F15" s="316"/>
    </row>
    <row r="16" spans="1:6" ht="15" customHeight="1">
      <c r="A16" s="349"/>
      <c r="B16" s="300"/>
      <c r="C16" s="280" t="s">
        <v>198</v>
      </c>
      <c r="D16" s="132" t="s">
        <v>199</v>
      </c>
      <c r="E16" s="350"/>
      <c r="F16" s="316"/>
    </row>
    <row r="17" spans="1:6" ht="15" customHeight="1">
      <c r="A17" s="349" t="s">
        <v>197</v>
      </c>
      <c r="B17" s="300"/>
      <c r="C17" s="74">
        <f>'Rendement chauffage (10)'!C15</f>
      </c>
      <c r="D17" s="74">
        <f>'Rendement chauffage (10)'!D15</f>
      </c>
      <c r="E17" s="350"/>
      <c r="F17" s="316"/>
    </row>
    <row r="18" spans="1:6" ht="15" customHeight="1">
      <c r="A18" s="134" t="s">
        <v>201</v>
      </c>
      <c r="B18" s="74">
        <f>'Rendement chauffage (10)'!B16</f>
        <v>0</v>
      </c>
      <c r="C18" s="74"/>
      <c r="D18" s="52"/>
      <c r="E18" s="350"/>
      <c r="F18" s="316"/>
    </row>
    <row r="19" spans="1:6" ht="15" customHeight="1">
      <c r="A19" s="134" t="s">
        <v>209</v>
      </c>
      <c r="B19" s="74">
        <f>'Rendement chauffage (10)'!B17</f>
        <v>0</v>
      </c>
      <c r="C19" s="74" t="s">
        <v>211</v>
      </c>
      <c r="D19" s="74">
        <f>'Rendement chauffage (10)'!D17</f>
        <v>0</v>
      </c>
      <c r="E19" s="350"/>
      <c r="F19" s="316"/>
    </row>
    <row r="20" spans="1:6" ht="15" customHeight="1">
      <c r="A20" s="308"/>
      <c r="B20" s="350"/>
      <c r="C20" s="350"/>
      <c r="D20" s="350"/>
      <c r="E20" s="350"/>
      <c r="F20" s="316"/>
    </row>
    <row r="21" spans="1:6" ht="15" customHeight="1">
      <c r="A21" s="308" t="s">
        <v>339</v>
      </c>
      <c r="B21" s="350"/>
      <c r="C21" s="56" t="e">
        <f>'Besoins en ECS (9)'!C20</f>
        <v>#N/A</v>
      </c>
      <c r="D21" s="74" t="s">
        <v>114</v>
      </c>
      <c r="E21" s="51" t="e">
        <f>"("&amp;ROUND(C21/1000,3)&amp;" kWh)"</f>
        <v>#N/A</v>
      </c>
      <c r="F21" s="316"/>
    </row>
    <row r="22" spans="1:6" ht="15" customHeight="1" thickBot="1">
      <c r="A22" s="341" t="str">
        <f>"Besoins en eau chaude sanitaire (ECS) par pour le mois "&amp;IF(OR(C4="avril",C4="août",C4="octobre"),"d'","de ")&amp;IF(C4&lt;&gt;0,C4,"")&amp;" :"</f>
        <v>Besoins en eau chaude sanitaire (ECS) par pour le mois de  :</v>
      </c>
      <c r="B22" s="342"/>
      <c r="C22" s="63" t="e">
        <f>'Besoins en ECS (9)'!C21</f>
        <v>#N/A</v>
      </c>
      <c r="D22" s="75" t="s">
        <v>114</v>
      </c>
      <c r="E22" s="111" t="e">
        <f>"("&amp;ROUND(C22/1000,3)&amp;" kWh)"</f>
        <v>#N/A</v>
      </c>
      <c r="F22" s="315"/>
    </row>
    <row r="23" spans="1:6" ht="15" customHeight="1" thickBot="1">
      <c r="A23" s="381"/>
      <c r="B23" s="382"/>
      <c r="C23" s="382"/>
      <c r="D23" s="382"/>
      <c r="E23" s="382"/>
      <c r="F23" s="383"/>
    </row>
    <row r="24" spans="1:6" s="21" customFormat="1" ht="15" customHeight="1" thickBot="1">
      <c r="A24" s="451" t="s">
        <v>148</v>
      </c>
      <c r="B24" s="452"/>
      <c r="C24" s="452"/>
      <c r="D24" s="452"/>
      <c r="E24" s="437"/>
      <c r="F24" s="438"/>
    </row>
    <row r="25" spans="1:6" s="21" customFormat="1" ht="15" customHeight="1">
      <c r="A25" s="309" t="s">
        <v>323</v>
      </c>
      <c r="B25" s="285" t="s">
        <v>345</v>
      </c>
      <c r="C25" s="285"/>
      <c r="D25" s="329">
        <f>'Apports récupérables ECS (4)'!F83</f>
        <v>0</v>
      </c>
      <c r="E25" s="330" t="s">
        <v>114</v>
      </c>
      <c r="F25" s="331" t="str">
        <f>"("&amp;ROUND(D25/1000,3)&amp;" kWh)"</f>
        <v>(0 kWh)</v>
      </c>
    </row>
    <row r="26" spans="1:6" s="21" customFormat="1" ht="15" customHeight="1">
      <c r="A26" s="310"/>
      <c r="B26" s="350" t="s">
        <v>341</v>
      </c>
      <c r="C26" s="350"/>
      <c r="D26" s="332" t="e">
        <f>$C$21</f>
        <v>#N/A</v>
      </c>
      <c r="E26" s="52" t="s">
        <v>114</v>
      </c>
      <c r="F26" s="231" t="e">
        <f>"("&amp;ROUND(D26/1000,3)&amp;" kWh)"</f>
        <v>#N/A</v>
      </c>
    </row>
    <row r="27" spans="1:6" s="21" customFormat="1" ht="15" customHeight="1">
      <c r="A27" s="310"/>
      <c r="B27" s="350" t="s">
        <v>359</v>
      </c>
      <c r="C27" s="350"/>
      <c r="D27" s="332">
        <f>IF(AND($C$11&lt;&gt;"",$C$11&lt;&gt;0),$C$11*1.1628*(75-D29),0)</f>
        <v>0</v>
      </c>
      <c r="E27" s="52" t="s">
        <v>114</v>
      </c>
      <c r="F27" s="231" t="str">
        <f>"("&amp;ROUND(D27/1000,3)&amp;" kWh)"</f>
        <v>(0 kWh)</v>
      </c>
    </row>
    <row r="28" spans="1:6" s="21" customFormat="1" ht="15" customHeight="1">
      <c r="A28" s="310"/>
      <c r="B28" s="350" t="s">
        <v>354</v>
      </c>
      <c r="C28" s="350"/>
      <c r="D28" s="332">
        <f>IF(AND($C$11&lt;&gt;"",$C$11&lt;&gt;0),$C$11*1.1628*(75-30),0)</f>
        <v>0</v>
      </c>
      <c r="E28" s="52" t="s">
        <v>114</v>
      </c>
      <c r="F28" s="231" t="str">
        <f>"("&amp;ROUND(D28/1000,3)&amp;" kWh)"</f>
        <v>(0 kWh)</v>
      </c>
    </row>
    <row r="29" spans="1:6" s="21" customFormat="1" ht="15" customHeight="1">
      <c r="A29" s="310"/>
      <c r="B29" s="350" t="s">
        <v>271</v>
      </c>
      <c r="C29" s="350"/>
      <c r="D29" s="95" t="e">
        <f>'Rendement chauffage (10)'!E22</f>
        <v>#N/A</v>
      </c>
      <c r="E29" s="52" t="s">
        <v>7</v>
      </c>
      <c r="F29" s="231"/>
    </row>
    <row r="30" spans="1:6" s="21" customFormat="1" ht="15" customHeight="1">
      <c r="A30" s="310"/>
      <c r="B30" s="350" t="s">
        <v>352</v>
      </c>
      <c r="C30" s="350"/>
      <c r="D30" s="332" t="e">
        <f>(D26+D25+D27)/$C$10</f>
        <v>#N/A</v>
      </c>
      <c r="E30" s="52" t="s">
        <v>203</v>
      </c>
      <c r="F30" s="173" t="e">
        <f>"("&amp;ROUND(D30*100,3)&amp;" %)"</f>
        <v>#N/A</v>
      </c>
    </row>
    <row r="31" spans="1:6" s="21" customFormat="1" ht="15" customHeight="1">
      <c r="A31" s="310"/>
      <c r="B31" s="350" t="s">
        <v>353</v>
      </c>
      <c r="C31" s="350"/>
      <c r="D31" s="332" t="e">
        <f>(D26+D25+D28)/$C$10</f>
        <v>#N/A</v>
      </c>
      <c r="E31" s="52" t="s">
        <v>203</v>
      </c>
      <c r="F31" s="173" t="e">
        <f>"("&amp;ROUND(D31*100,3)&amp;" %)"</f>
        <v>#N/A</v>
      </c>
    </row>
    <row r="32" spans="1:6" s="21" customFormat="1" ht="15" customHeight="1">
      <c r="A32" s="310"/>
      <c r="B32" s="350" t="s">
        <v>223</v>
      </c>
      <c r="C32" s="350"/>
      <c r="D32" s="332" t="e">
        <f>($C$13+$D$13*LOG($C$10/1000))-0.5</f>
        <v>#VALUE!</v>
      </c>
      <c r="E32" s="52" t="s">
        <v>203</v>
      </c>
      <c r="F32" s="231"/>
    </row>
    <row r="33" spans="1:6" s="21" customFormat="1" ht="15" customHeight="1">
      <c r="A33" s="310"/>
      <c r="B33" s="350" t="s">
        <v>346</v>
      </c>
      <c r="C33" s="350"/>
      <c r="D33" s="332" t="e">
        <f>(100-D32)/D32*$C$10</f>
        <v>#VALUE!</v>
      </c>
      <c r="E33" s="52" t="s">
        <v>114</v>
      </c>
      <c r="F33" s="231" t="e">
        <f>"("&amp;ROUND(D33/1000,3)&amp;" kWh)"</f>
        <v>#VALUE!</v>
      </c>
    </row>
    <row r="34" spans="1:6" s="21" customFormat="1" ht="15" customHeight="1">
      <c r="A34" s="310"/>
      <c r="B34" s="350" t="s">
        <v>355</v>
      </c>
      <c r="C34" s="350"/>
      <c r="D34" s="333" t="e">
        <f>D33*D30</f>
        <v>#VALUE!</v>
      </c>
      <c r="E34" s="57" t="s">
        <v>114</v>
      </c>
      <c r="F34" s="59" t="e">
        <f>"("&amp;ROUND(D34/1000,3)&amp;" kWh)"</f>
        <v>#VALUE!</v>
      </c>
    </row>
    <row r="35" spans="1:6" s="21" customFormat="1" ht="15" customHeight="1">
      <c r="A35" s="310"/>
      <c r="B35" s="350" t="s">
        <v>356</v>
      </c>
      <c r="C35" s="350"/>
      <c r="D35" s="333" t="e">
        <f>D33*D31</f>
        <v>#VALUE!</v>
      </c>
      <c r="E35" s="57" t="s">
        <v>114</v>
      </c>
      <c r="F35" s="59" t="e">
        <f>"("&amp;ROUND(D35/1000,3)&amp;" kWh)"</f>
        <v>#VALUE!</v>
      </c>
    </row>
    <row r="36" spans="1:6" s="21" customFormat="1" ht="15" customHeight="1">
      <c r="A36" s="310"/>
      <c r="B36" s="350" t="s">
        <v>357</v>
      </c>
      <c r="C36" s="350"/>
      <c r="D36" s="333" t="e">
        <f>(D25+D26)/(D25+D26+D34)</f>
        <v>#N/A</v>
      </c>
      <c r="E36" s="57" t="s">
        <v>203</v>
      </c>
      <c r="F36" s="59" t="e">
        <f>"("&amp;ROUND(D36*100,3)&amp;" %)"</f>
        <v>#N/A</v>
      </c>
    </row>
    <row r="37" spans="1:6" s="21" customFormat="1" ht="15" customHeight="1">
      <c r="A37" s="310"/>
      <c r="B37" s="350" t="s">
        <v>358</v>
      </c>
      <c r="C37" s="350"/>
      <c r="D37" s="58" t="e">
        <f>(D25+D26)/(D25+D26+D28+D35)</f>
        <v>#N/A</v>
      </c>
      <c r="E37" s="57" t="s">
        <v>203</v>
      </c>
      <c r="F37" s="59" t="e">
        <f>"("&amp;ROUND(D37*100,3)&amp;" %)"</f>
        <v>#N/A</v>
      </c>
    </row>
    <row r="38" spans="1:6" s="21" customFormat="1" ht="15" customHeight="1" thickBot="1">
      <c r="A38" s="304"/>
      <c r="B38" s="592" t="s">
        <v>344</v>
      </c>
      <c r="C38" s="593"/>
      <c r="D38" s="335" t="e">
        <f>D26/(D26+D25)</f>
        <v>#N/A</v>
      </c>
      <c r="E38" s="174" t="s">
        <v>203</v>
      </c>
      <c r="F38" s="175" t="e">
        <f>"("&amp;ROUND(D38*100,3)&amp;" %)"</f>
        <v>#N/A</v>
      </c>
    </row>
    <row r="39" spans="1:6" s="21" customFormat="1" ht="15" customHeight="1">
      <c r="A39" s="309" t="s">
        <v>324</v>
      </c>
      <c r="B39" s="285" t="s">
        <v>345</v>
      </c>
      <c r="C39" s="285"/>
      <c r="D39" s="329">
        <f>'Apports récupérables ECS (4)'!F117</f>
        <v>0</v>
      </c>
      <c r="E39" s="330" t="s">
        <v>114</v>
      </c>
      <c r="F39" s="331" t="str">
        <f>"("&amp;ROUND(D39/1000,3)&amp;" kWh)"</f>
        <v>(0 kWh)</v>
      </c>
    </row>
    <row r="40" spans="1:6" s="21" customFormat="1" ht="15" customHeight="1">
      <c r="A40" s="310"/>
      <c r="B40" s="350" t="s">
        <v>341</v>
      </c>
      <c r="C40" s="350"/>
      <c r="D40" s="332" t="e">
        <f>$C$21</f>
        <v>#N/A</v>
      </c>
      <c r="E40" s="52" t="s">
        <v>114</v>
      </c>
      <c r="F40" s="231" t="e">
        <f>"("&amp;ROUND(D40/1000,3)&amp;" kWh)"</f>
        <v>#N/A</v>
      </c>
    </row>
    <row r="41" spans="1:6" s="21" customFormat="1" ht="15" customHeight="1">
      <c r="A41" s="310"/>
      <c r="B41" s="350" t="s">
        <v>359</v>
      </c>
      <c r="C41" s="350"/>
      <c r="D41" s="332">
        <f>IF(AND($C$11&lt;&gt;"",$C$11&lt;&gt;0),$C$11*1.1628*(75-D43),0)</f>
        <v>0</v>
      </c>
      <c r="E41" s="52" t="s">
        <v>114</v>
      </c>
      <c r="F41" s="231" t="str">
        <f>"("&amp;ROUND(D41/1000,3)&amp;" kWh)"</f>
        <v>(0 kWh)</v>
      </c>
    </row>
    <row r="42" spans="1:6" s="21" customFormat="1" ht="15" customHeight="1">
      <c r="A42" s="310"/>
      <c r="B42" s="350" t="s">
        <v>354</v>
      </c>
      <c r="C42" s="350"/>
      <c r="D42" s="332">
        <f>IF(AND($C$11&lt;&gt;"",$C$11&lt;&gt;0),$C$11*1.1628*(75-30),0)</f>
        <v>0</v>
      </c>
      <c r="E42" s="52" t="s">
        <v>114</v>
      </c>
      <c r="F42" s="231" t="str">
        <f>"("&amp;ROUND(D42/1000,3)&amp;" kWh)"</f>
        <v>(0 kWh)</v>
      </c>
    </row>
    <row r="43" spans="1:6" s="21" customFormat="1" ht="15" customHeight="1">
      <c r="A43" s="310"/>
      <c r="B43" s="350" t="s">
        <v>271</v>
      </c>
      <c r="C43" s="350"/>
      <c r="D43" s="95" t="e">
        <f>'Rendement chauffage (10)'!E58</f>
        <v>#N/A</v>
      </c>
      <c r="E43" s="52" t="s">
        <v>7</v>
      </c>
      <c r="F43" s="231"/>
    </row>
    <row r="44" spans="1:6" s="21" customFormat="1" ht="15" customHeight="1">
      <c r="A44" s="310"/>
      <c r="B44" s="350" t="s">
        <v>352</v>
      </c>
      <c r="C44" s="350"/>
      <c r="D44" s="332" t="e">
        <f>(D40+D39+D41)/$C$10</f>
        <v>#N/A</v>
      </c>
      <c r="E44" s="52" t="s">
        <v>203</v>
      </c>
      <c r="F44" s="173" t="e">
        <f>"("&amp;ROUND(D44*100,3)&amp;" %)"</f>
        <v>#N/A</v>
      </c>
    </row>
    <row r="45" spans="1:6" s="21" customFormat="1" ht="15" customHeight="1">
      <c r="A45" s="310"/>
      <c r="B45" s="350" t="s">
        <v>353</v>
      </c>
      <c r="C45" s="350"/>
      <c r="D45" s="332" t="e">
        <f>(D40+D39+D42)/$C$10</f>
        <v>#N/A</v>
      </c>
      <c r="E45" s="52" t="s">
        <v>203</v>
      </c>
      <c r="F45" s="173" t="e">
        <f>"("&amp;ROUND(D45*100,3)&amp;" %)"</f>
        <v>#N/A</v>
      </c>
    </row>
    <row r="46" spans="1:6" s="21" customFormat="1" ht="15" customHeight="1">
      <c r="A46" s="310"/>
      <c r="B46" s="350" t="s">
        <v>223</v>
      </c>
      <c r="C46" s="350"/>
      <c r="D46" s="332" t="e">
        <f>($C$13+$D$13*LOG($C$10/1000))-0.5</f>
        <v>#VALUE!</v>
      </c>
      <c r="E46" s="52" t="s">
        <v>203</v>
      </c>
      <c r="F46" s="231"/>
    </row>
    <row r="47" spans="1:6" s="21" customFormat="1" ht="15" customHeight="1">
      <c r="A47" s="310"/>
      <c r="B47" s="350" t="s">
        <v>346</v>
      </c>
      <c r="C47" s="350"/>
      <c r="D47" s="332" t="e">
        <f>(100-D46)/D46*$C$10</f>
        <v>#VALUE!</v>
      </c>
      <c r="E47" s="52" t="s">
        <v>114</v>
      </c>
      <c r="F47" s="231" t="e">
        <f>"("&amp;ROUND(D47/1000,3)&amp;" kWh)"</f>
        <v>#VALUE!</v>
      </c>
    </row>
    <row r="48" spans="1:6" s="21" customFormat="1" ht="15" customHeight="1">
      <c r="A48" s="310"/>
      <c r="B48" s="350" t="s">
        <v>355</v>
      </c>
      <c r="C48" s="350"/>
      <c r="D48" s="333" t="e">
        <f>D47*D44</f>
        <v>#VALUE!</v>
      </c>
      <c r="E48" s="57" t="s">
        <v>114</v>
      </c>
      <c r="F48" s="59" t="e">
        <f>"("&amp;ROUND(D48/1000,3)&amp;" kWh)"</f>
        <v>#VALUE!</v>
      </c>
    </row>
    <row r="49" spans="1:6" s="21" customFormat="1" ht="15" customHeight="1">
      <c r="A49" s="310"/>
      <c r="B49" s="350" t="s">
        <v>356</v>
      </c>
      <c r="C49" s="350"/>
      <c r="D49" s="333" t="e">
        <f>D47*D45</f>
        <v>#VALUE!</v>
      </c>
      <c r="E49" s="57" t="s">
        <v>114</v>
      </c>
      <c r="F49" s="59" t="e">
        <f>"("&amp;ROUND(D49/1000,3)&amp;" kWh)"</f>
        <v>#VALUE!</v>
      </c>
    </row>
    <row r="50" spans="1:6" s="21" customFormat="1" ht="15" customHeight="1">
      <c r="A50" s="310"/>
      <c r="B50" s="350" t="s">
        <v>357</v>
      </c>
      <c r="C50" s="350"/>
      <c r="D50" s="333" t="e">
        <f>(D39+D40)/(D39+D40+D48)</f>
        <v>#N/A</v>
      </c>
      <c r="E50" s="57" t="s">
        <v>203</v>
      </c>
      <c r="F50" s="59" t="e">
        <f>"("&amp;ROUND(D50*100,3)&amp;" %)"</f>
        <v>#N/A</v>
      </c>
    </row>
    <row r="51" spans="1:6" s="21" customFormat="1" ht="15" customHeight="1">
      <c r="A51" s="310"/>
      <c r="B51" s="350" t="s">
        <v>358</v>
      </c>
      <c r="C51" s="350"/>
      <c r="D51" s="58" t="e">
        <f>(D39+D40)/(D39+D40+D42+D49)</f>
        <v>#N/A</v>
      </c>
      <c r="E51" s="57" t="s">
        <v>203</v>
      </c>
      <c r="F51" s="59" t="e">
        <f>"("&amp;ROUND(D51*100,3)&amp;" %)"</f>
        <v>#N/A</v>
      </c>
    </row>
    <row r="52" spans="1:6" s="21" customFormat="1" ht="15" customHeight="1" thickBot="1">
      <c r="A52" s="304"/>
      <c r="B52" s="592" t="s">
        <v>344</v>
      </c>
      <c r="C52" s="593"/>
      <c r="D52" s="335" t="e">
        <f>D40/(D40+D39)</f>
        <v>#N/A</v>
      </c>
      <c r="E52" s="174" t="s">
        <v>203</v>
      </c>
      <c r="F52" s="175" t="e">
        <f>"("&amp;ROUND(D52*100,3)&amp;" %)"</f>
        <v>#N/A</v>
      </c>
    </row>
    <row r="53" spans="1:6" s="21" customFormat="1" ht="15" customHeight="1">
      <c r="A53" s="309" t="s">
        <v>325</v>
      </c>
      <c r="B53" s="285" t="s">
        <v>345</v>
      </c>
      <c r="C53" s="285"/>
      <c r="D53" s="329">
        <f>'Apports récupérables ECS (4)'!F151</f>
        <v>0</v>
      </c>
      <c r="E53" s="330" t="s">
        <v>114</v>
      </c>
      <c r="F53" s="331" t="str">
        <f>"("&amp;ROUND(D53/1000,3)&amp;" kWh)"</f>
        <v>(0 kWh)</v>
      </c>
    </row>
    <row r="54" spans="1:6" s="21" customFormat="1" ht="15" customHeight="1">
      <c r="A54" s="310"/>
      <c r="B54" s="350" t="s">
        <v>341</v>
      </c>
      <c r="C54" s="350"/>
      <c r="D54" s="332" t="e">
        <f>$C$21</f>
        <v>#N/A</v>
      </c>
      <c r="E54" s="52" t="s">
        <v>114</v>
      </c>
      <c r="F54" s="231" t="e">
        <f>"("&amp;ROUND(D54/1000,3)&amp;" kWh)"</f>
        <v>#N/A</v>
      </c>
    </row>
    <row r="55" spans="1:6" s="21" customFormat="1" ht="15" customHeight="1">
      <c r="A55" s="458"/>
      <c r="B55" s="350" t="s">
        <v>359</v>
      </c>
      <c r="C55" s="350"/>
      <c r="D55" s="332">
        <f>IF(AND($C$11&lt;&gt;"",$C$11&lt;&gt;0),$C$11*1.1628*(75-D57),0)</f>
        <v>0</v>
      </c>
      <c r="E55" s="52" t="s">
        <v>114</v>
      </c>
      <c r="F55" s="231" t="str">
        <f>"("&amp;ROUND(D55/1000,3)&amp;" kWh)"</f>
        <v>(0 kWh)</v>
      </c>
    </row>
    <row r="56" spans="1:6" s="21" customFormat="1" ht="15" customHeight="1">
      <c r="A56" s="458"/>
      <c r="B56" s="350" t="s">
        <v>354</v>
      </c>
      <c r="C56" s="350"/>
      <c r="D56" s="332">
        <f>IF(AND($C$11&lt;&gt;"",$C$11&lt;&gt;0),$C$11*1.1628*(75-30),0)</f>
        <v>0</v>
      </c>
      <c r="E56" s="52" t="s">
        <v>114</v>
      </c>
      <c r="F56" s="231" t="str">
        <f>"("&amp;ROUND(D56/1000,3)&amp;" kWh)"</f>
        <v>(0 kWh)</v>
      </c>
    </row>
    <row r="57" spans="1:6" s="21" customFormat="1" ht="15" customHeight="1">
      <c r="A57" s="458"/>
      <c r="B57" s="350" t="s">
        <v>271</v>
      </c>
      <c r="C57" s="350"/>
      <c r="D57" s="95" t="e">
        <f>'Rendement chauffage (10)'!E94</f>
        <v>#N/A</v>
      </c>
      <c r="E57" s="52" t="s">
        <v>7</v>
      </c>
      <c r="F57" s="231"/>
    </row>
    <row r="58" spans="1:6" s="21" customFormat="1" ht="15" customHeight="1">
      <c r="A58" s="458"/>
      <c r="B58" s="350" t="s">
        <v>352</v>
      </c>
      <c r="C58" s="350"/>
      <c r="D58" s="332" t="e">
        <f>(D54+D53+D55)/$C$10</f>
        <v>#N/A</v>
      </c>
      <c r="E58" s="52" t="s">
        <v>203</v>
      </c>
      <c r="F58" s="173" t="e">
        <f>"("&amp;ROUND(D58*100,3)&amp;" %)"</f>
        <v>#N/A</v>
      </c>
    </row>
    <row r="59" spans="1:6" s="21" customFormat="1" ht="15" customHeight="1">
      <c r="A59" s="458"/>
      <c r="B59" s="350" t="s">
        <v>353</v>
      </c>
      <c r="C59" s="350"/>
      <c r="D59" s="332" t="e">
        <f>(D54+D53+D56)/$C$10</f>
        <v>#N/A</v>
      </c>
      <c r="E59" s="52" t="s">
        <v>203</v>
      </c>
      <c r="F59" s="173" t="e">
        <f>"("&amp;ROUND(D59*100,3)&amp;" %)"</f>
        <v>#N/A</v>
      </c>
    </row>
    <row r="60" spans="1:6" s="21" customFormat="1" ht="15" customHeight="1">
      <c r="A60" s="458"/>
      <c r="B60" s="350" t="s">
        <v>223</v>
      </c>
      <c r="C60" s="350"/>
      <c r="D60" s="332" t="e">
        <f>($C$13+$D$13*LOG($C$10/1000))-0.5</f>
        <v>#VALUE!</v>
      </c>
      <c r="E60" s="52" t="s">
        <v>203</v>
      </c>
      <c r="F60" s="231"/>
    </row>
    <row r="61" spans="1:6" s="21" customFormat="1" ht="15" customHeight="1">
      <c r="A61" s="458"/>
      <c r="B61" s="350" t="s">
        <v>346</v>
      </c>
      <c r="C61" s="350"/>
      <c r="D61" s="332" t="e">
        <f>(100-D60)/D60*$C$10</f>
        <v>#VALUE!</v>
      </c>
      <c r="E61" s="52" t="s">
        <v>114</v>
      </c>
      <c r="F61" s="231" t="e">
        <f>"("&amp;ROUND(D61/1000,3)&amp;" kWh)"</f>
        <v>#VALUE!</v>
      </c>
    </row>
    <row r="62" spans="1:6" s="21" customFormat="1" ht="15" customHeight="1">
      <c r="A62" s="458"/>
      <c r="B62" s="350" t="s">
        <v>355</v>
      </c>
      <c r="C62" s="350"/>
      <c r="D62" s="333" t="e">
        <f>D61*D58</f>
        <v>#VALUE!</v>
      </c>
      <c r="E62" s="57" t="s">
        <v>114</v>
      </c>
      <c r="F62" s="59" t="e">
        <f>"("&amp;ROUND(D62/1000,3)&amp;" kWh)"</f>
        <v>#VALUE!</v>
      </c>
    </row>
    <row r="63" spans="1:6" s="21" customFormat="1" ht="15" customHeight="1">
      <c r="A63" s="458"/>
      <c r="B63" s="350" t="s">
        <v>356</v>
      </c>
      <c r="C63" s="350"/>
      <c r="D63" s="333" t="e">
        <f>D61*D59</f>
        <v>#VALUE!</v>
      </c>
      <c r="E63" s="57" t="s">
        <v>114</v>
      </c>
      <c r="F63" s="59" t="e">
        <f>"("&amp;ROUND(D63/1000,3)&amp;" kWh)"</f>
        <v>#VALUE!</v>
      </c>
    </row>
    <row r="64" spans="1:6" s="21" customFormat="1" ht="15" customHeight="1">
      <c r="A64" s="458"/>
      <c r="B64" s="350" t="s">
        <v>357</v>
      </c>
      <c r="C64" s="350"/>
      <c r="D64" s="333" t="e">
        <f>(D53+D54)/(D53+D54+D62)</f>
        <v>#N/A</v>
      </c>
      <c r="E64" s="57" t="s">
        <v>203</v>
      </c>
      <c r="F64" s="59" t="e">
        <f>"("&amp;ROUND(D64*100,3)&amp;" %)"</f>
        <v>#N/A</v>
      </c>
    </row>
    <row r="65" spans="1:6" s="21" customFormat="1" ht="15" customHeight="1">
      <c r="A65" s="458"/>
      <c r="B65" s="350" t="s">
        <v>358</v>
      </c>
      <c r="C65" s="350"/>
      <c r="D65" s="58" t="e">
        <f>(D53+D54)/(D53+D54+D56+D63)</f>
        <v>#N/A</v>
      </c>
      <c r="E65" s="57" t="s">
        <v>203</v>
      </c>
      <c r="F65" s="59" t="e">
        <f>"("&amp;ROUND(D65*100,3)&amp;" %)"</f>
        <v>#N/A</v>
      </c>
    </row>
    <row r="66" spans="1:6" s="21" customFormat="1" ht="15" customHeight="1" thickBot="1">
      <c r="A66" s="304"/>
      <c r="B66" s="592" t="s">
        <v>344</v>
      </c>
      <c r="C66" s="593"/>
      <c r="D66" s="335" t="e">
        <f>D54/(D54+D53)</f>
        <v>#N/A</v>
      </c>
      <c r="E66" s="174" t="s">
        <v>203</v>
      </c>
      <c r="F66" s="175" t="e">
        <f>"("&amp;ROUND(D66*100,3)&amp;" %)"</f>
        <v>#N/A</v>
      </c>
    </row>
    <row r="67" spans="1:6" s="21" customFormat="1" ht="15" customHeight="1">
      <c r="A67" s="309" t="s">
        <v>326</v>
      </c>
      <c r="B67" s="285" t="s">
        <v>345</v>
      </c>
      <c r="C67" s="285"/>
      <c r="D67" s="329">
        <f>'Apports récupérables ECS (4)'!F185</f>
        <v>0</v>
      </c>
      <c r="E67" s="330" t="s">
        <v>114</v>
      </c>
      <c r="F67" s="331" t="str">
        <f>"("&amp;ROUND(D67/1000,3)&amp;" kWh)"</f>
        <v>(0 kWh)</v>
      </c>
    </row>
    <row r="68" spans="1:6" s="21" customFormat="1" ht="15" customHeight="1">
      <c r="A68" s="310"/>
      <c r="B68" s="350" t="s">
        <v>341</v>
      </c>
      <c r="C68" s="350"/>
      <c r="D68" s="332" t="e">
        <f>$C$21</f>
        <v>#N/A</v>
      </c>
      <c r="E68" s="52" t="s">
        <v>114</v>
      </c>
      <c r="F68" s="231" t="e">
        <f>"("&amp;ROUND(D68/1000,3)&amp;" kWh)"</f>
        <v>#N/A</v>
      </c>
    </row>
    <row r="69" spans="1:6" s="21" customFormat="1" ht="15" customHeight="1">
      <c r="A69" s="458"/>
      <c r="B69" s="350" t="s">
        <v>359</v>
      </c>
      <c r="C69" s="350"/>
      <c r="D69" s="332">
        <f>IF(AND($C$11&lt;&gt;"",$C$11&lt;&gt;0),$C$11*1.1628*(75-D71),0)</f>
        <v>0</v>
      </c>
      <c r="E69" s="52" t="s">
        <v>114</v>
      </c>
      <c r="F69" s="231" t="str">
        <f>"("&amp;ROUND(D69/1000,3)&amp;" kWh)"</f>
        <v>(0 kWh)</v>
      </c>
    </row>
    <row r="70" spans="1:6" s="21" customFormat="1" ht="15" customHeight="1">
      <c r="A70" s="458"/>
      <c r="B70" s="350" t="s">
        <v>354</v>
      </c>
      <c r="C70" s="350"/>
      <c r="D70" s="332">
        <f>IF(AND($C$11&lt;&gt;"",$C$11&lt;&gt;0),$C$11*1.1628*(75-30),0)</f>
        <v>0</v>
      </c>
      <c r="E70" s="52" t="s">
        <v>114</v>
      </c>
      <c r="F70" s="231" t="str">
        <f>"("&amp;ROUND(D70/1000,3)&amp;" kWh)"</f>
        <v>(0 kWh)</v>
      </c>
    </row>
    <row r="71" spans="1:6" s="21" customFormat="1" ht="15" customHeight="1">
      <c r="A71" s="458"/>
      <c r="B71" s="350" t="s">
        <v>271</v>
      </c>
      <c r="C71" s="350"/>
      <c r="D71" s="95" t="e">
        <f>'Rendement chauffage (10)'!E130</f>
        <v>#N/A</v>
      </c>
      <c r="E71" s="52" t="s">
        <v>7</v>
      </c>
      <c r="F71" s="231"/>
    </row>
    <row r="72" spans="1:6" s="21" customFormat="1" ht="15" customHeight="1">
      <c r="A72" s="458"/>
      <c r="B72" s="350" t="s">
        <v>352</v>
      </c>
      <c r="C72" s="350"/>
      <c r="D72" s="332" t="e">
        <f>(D68+D67+D69)/$C$10</f>
        <v>#N/A</v>
      </c>
      <c r="E72" s="52" t="s">
        <v>203</v>
      </c>
      <c r="F72" s="173" t="e">
        <f>"("&amp;ROUND(D72*100,3)&amp;" %)"</f>
        <v>#N/A</v>
      </c>
    </row>
    <row r="73" spans="1:6" s="21" customFormat="1" ht="15" customHeight="1">
      <c r="A73" s="458"/>
      <c r="B73" s="350" t="s">
        <v>353</v>
      </c>
      <c r="C73" s="350"/>
      <c r="D73" s="332" t="e">
        <f>(D68+D67+D70)/$C$10</f>
        <v>#N/A</v>
      </c>
      <c r="E73" s="52" t="s">
        <v>203</v>
      </c>
      <c r="F73" s="173" t="e">
        <f>"("&amp;ROUND(D73*100,3)&amp;" %)"</f>
        <v>#N/A</v>
      </c>
    </row>
    <row r="74" spans="1:6" s="21" customFormat="1" ht="15" customHeight="1">
      <c r="A74" s="458"/>
      <c r="B74" s="350" t="s">
        <v>223</v>
      </c>
      <c r="C74" s="350"/>
      <c r="D74" s="332" t="e">
        <f>($C$13+$D$13*LOG($C$10/1000))-0.5</f>
        <v>#VALUE!</v>
      </c>
      <c r="E74" s="52" t="s">
        <v>203</v>
      </c>
      <c r="F74" s="231"/>
    </row>
    <row r="75" spans="1:6" s="21" customFormat="1" ht="15" customHeight="1">
      <c r="A75" s="458"/>
      <c r="B75" s="350" t="s">
        <v>346</v>
      </c>
      <c r="C75" s="350"/>
      <c r="D75" s="332" t="e">
        <f>(100-D74)/D74*$C$10</f>
        <v>#VALUE!</v>
      </c>
      <c r="E75" s="52" t="s">
        <v>114</v>
      </c>
      <c r="F75" s="231" t="e">
        <f>"("&amp;ROUND(D75/1000,3)&amp;" kWh)"</f>
        <v>#VALUE!</v>
      </c>
    </row>
    <row r="76" spans="1:6" s="21" customFormat="1" ht="15" customHeight="1">
      <c r="A76" s="458"/>
      <c r="B76" s="350" t="s">
        <v>355</v>
      </c>
      <c r="C76" s="350"/>
      <c r="D76" s="333" t="e">
        <f>D75*D72</f>
        <v>#VALUE!</v>
      </c>
      <c r="E76" s="57" t="s">
        <v>114</v>
      </c>
      <c r="F76" s="59" t="e">
        <f>"("&amp;ROUND(D76/1000,3)&amp;" kWh)"</f>
        <v>#VALUE!</v>
      </c>
    </row>
    <row r="77" spans="1:6" s="21" customFormat="1" ht="15" customHeight="1">
      <c r="A77" s="458"/>
      <c r="B77" s="350" t="s">
        <v>356</v>
      </c>
      <c r="C77" s="350"/>
      <c r="D77" s="333" t="e">
        <f>D75*D73</f>
        <v>#VALUE!</v>
      </c>
      <c r="E77" s="57" t="s">
        <v>114</v>
      </c>
      <c r="F77" s="59" t="e">
        <f>"("&amp;ROUND(D77/1000,3)&amp;" kWh)"</f>
        <v>#VALUE!</v>
      </c>
    </row>
    <row r="78" spans="1:6" s="21" customFormat="1" ht="15" customHeight="1">
      <c r="A78" s="458"/>
      <c r="B78" s="350" t="s">
        <v>357</v>
      </c>
      <c r="C78" s="350"/>
      <c r="D78" s="333" t="e">
        <f>(D67+D68)/(D67+D68+D76)</f>
        <v>#N/A</v>
      </c>
      <c r="E78" s="57" t="s">
        <v>203</v>
      </c>
      <c r="F78" s="59" t="e">
        <f>"("&amp;ROUND(D78*100,3)&amp;" %)"</f>
        <v>#N/A</v>
      </c>
    </row>
    <row r="79" spans="1:6" s="21" customFormat="1" ht="15" customHeight="1">
      <c r="A79" s="458"/>
      <c r="B79" s="350" t="s">
        <v>358</v>
      </c>
      <c r="C79" s="350"/>
      <c r="D79" s="58" t="e">
        <f>(D67+D68)/(D67+D68+D70+D77)</f>
        <v>#N/A</v>
      </c>
      <c r="E79" s="57" t="s">
        <v>203</v>
      </c>
      <c r="F79" s="59" t="e">
        <f>"("&amp;ROUND(D79*100,3)&amp;" %)"</f>
        <v>#N/A</v>
      </c>
    </row>
    <row r="80" spans="1:6" s="21" customFormat="1" ht="15" customHeight="1" thickBot="1">
      <c r="A80" s="304"/>
      <c r="B80" s="592" t="s">
        <v>344</v>
      </c>
      <c r="C80" s="593"/>
      <c r="D80" s="335" t="e">
        <f>D68/(D68+D67)</f>
        <v>#N/A</v>
      </c>
      <c r="E80" s="174" t="s">
        <v>203</v>
      </c>
      <c r="F80" s="175" t="e">
        <f>"("&amp;ROUND(D80*100,3)&amp;" %)"</f>
        <v>#N/A</v>
      </c>
    </row>
    <row r="81" spans="1:6" s="21" customFormat="1" ht="15" customHeight="1">
      <c r="A81" s="309" t="s">
        <v>327</v>
      </c>
      <c r="B81" s="285" t="s">
        <v>345</v>
      </c>
      <c r="C81" s="285"/>
      <c r="D81" s="329">
        <f>'Apports récupérables ECS (4)'!F219</f>
        <v>0</v>
      </c>
      <c r="E81" s="330" t="s">
        <v>114</v>
      </c>
      <c r="F81" s="331" t="str">
        <f>"("&amp;ROUND(D81/1000,3)&amp;" kWh)"</f>
        <v>(0 kWh)</v>
      </c>
    </row>
    <row r="82" spans="1:6" s="21" customFormat="1" ht="15" customHeight="1">
      <c r="A82" s="310"/>
      <c r="B82" s="350" t="s">
        <v>341</v>
      </c>
      <c r="C82" s="350"/>
      <c r="D82" s="332" t="e">
        <f>$C$21</f>
        <v>#N/A</v>
      </c>
      <c r="E82" s="52" t="s">
        <v>114</v>
      </c>
      <c r="F82" s="231" t="e">
        <f>"("&amp;ROUND(D82/1000,3)&amp;" kWh)"</f>
        <v>#N/A</v>
      </c>
    </row>
    <row r="83" spans="1:6" s="21" customFormat="1" ht="15" customHeight="1">
      <c r="A83" s="458"/>
      <c r="B83" s="350" t="s">
        <v>359</v>
      </c>
      <c r="C83" s="350"/>
      <c r="D83" s="332">
        <f>IF(AND($C$11&lt;&gt;"",$C$11&lt;&gt;0),$C$11*1.1628*(75-D85),0)</f>
        <v>0</v>
      </c>
      <c r="E83" s="52" t="s">
        <v>114</v>
      </c>
      <c r="F83" s="231" t="str">
        <f>"("&amp;ROUND(D83/1000,3)&amp;" kWh)"</f>
        <v>(0 kWh)</v>
      </c>
    </row>
    <row r="84" spans="1:6" s="21" customFormat="1" ht="15" customHeight="1">
      <c r="A84" s="458"/>
      <c r="B84" s="350" t="s">
        <v>354</v>
      </c>
      <c r="C84" s="350"/>
      <c r="D84" s="332">
        <f>IF(AND($C$11&lt;&gt;"",$C$11&lt;&gt;0),$C$11*1.1628*(75-30),0)</f>
        <v>0</v>
      </c>
      <c r="E84" s="52" t="s">
        <v>114</v>
      </c>
      <c r="F84" s="231" t="str">
        <f>"("&amp;ROUND(D84/1000,3)&amp;" kWh)"</f>
        <v>(0 kWh)</v>
      </c>
    </row>
    <row r="85" spans="1:6" s="21" customFormat="1" ht="15" customHeight="1">
      <c r="A85" s="458"/>
      <c r="B85" s="350" t="s">
        <v>271</v>
      </c>
      <c r="C85" s="350"/>
      <c r="D85" s="95" t="e">
        <f>'Rendement chauffage (10)'!E166</f>
        <v>#N/A</v>
      </c>
      <c r="E85" s="52" t="s">
        <v>7</v>
      </c>
      <c r="F85" s="231"/>
    </row>
    <row r="86" spans="1:6" s="21" customFormat="1" ht="15" customHeight="1">
      <c r="A86" s="458"/>
      <c r="B86" s="350" t="s">
        <v>352</v>
      </c>
      <c r="C86" s="350"/>
      <c r="D86" s="332" t="e">
        <f>(D82+D81+D83)/$C$10</f>
        <v>#N/A</v>
      </c>
      <c r="E86" s="52" t="s">
        <v>203</v>
      </c>
      <c r="F86" s="173" t="e">
        <f>"("&amp;ROUND(D86*100,3)&amp;" %)"</f>
        <v>#N/A</v>
      </c>
    </row>
    <row r="87" spans="1:6" s="21" customFormat="1" ht="15" customHeight="1">
      <c r="A87" s="458"/>
      <c r="B87" s="350" t="s">
        <v>353</v>
      </c>
      <c r="C87" s="350"/>
      <c r="D87" s="332" t="e">
        <f>(D82+D81+D84)/$C$10</f>
        <v>#N/A</v>
      </c>
      <c r="E87" s="52" t="s">
        <v>203</v>
      </c>
      <c r="F87" s="173" t="e">
        <f>"("&amp;ROUND(D87*100,3)&amp;" %)"</f>
        <v>#N/A</v>
      </c>
    </row>
    <row r="88" spans="1:6" s="21" customFormat="1" ht="15" customHeight="1">
      <c r="A88" s="458"/>
      <c r="B88" s="350" t="s">
        <v>223</v>
      </c>
      <c r="C88" s="350"/>
      <c r="D88" s="332" t="e">
        <f>($C$13+$D$13*LOG($C$10/1000))-0.5</f>
        <v>#VALUE!</v>
      </c>
      <c r="E88" s="52" t="s">
        <v>203</v>
      </c>
      <c r="F88" s="231"/>
    </row>
    <row r="89" spans="1:6" s="21" customFormat="1" ht="15" customHeight="1">
      <c r="A89" s="458"/>
      <c r="B89" s="350" t="s">
        <v>346</v>
      </c>
      <c r="C89" s="350"/>
      <c r="D89" s="332" t="e">
        <f>(100-D88)/D88*$C$10</f>
        <v>#VALUE!</v>
      </c>
      <c r="E89" s="52" t="s">
        <v>114</v>
      </c>
      <c r="F89" s="231" t="e">
        <f>"("&amp;ROUND(D89/1000,3)&amp;" kWh)"</f>
        <v>#VALUE!</v>
      </c>
    </row>
    <row r="90" spans="1:6" s="21" customFormat="1" ht="15" customHeight="1">
      <c r="A90" s="458"/>
      <c r="B90" s="350" t="s">
        <v>355</v>
      </c>
      <c r="C90" s="350"/>
      <c r="D90" s="333" t="e">
        <f>D89*D86</f>
        <v>#VALUE!</v>
      </c>
      <c r="E90" s="57" t="s">
        <v>114</v>
      </c>
      <c r="F90" s="59" t="e">
        <f>"("&amp;ROUND(D90/1000,3)&amp;" kWh)"</f>
        <v>#VALUE!</v>
      </c>
    </row>
    <row r="91" spans="1:6" s="21" customFormat="1" ht="15" customHeight="1">
      <c r="A91" s="458"/>
      <c r="B91" s="350" t="s">
        <v>356</v>
      </c>
      <c r="C91" s="350"/>
      <c r="D91" s="333" t="e">
        <f>D89*D87</f>
        <v>#VALUE!</v>
      </c>
      <c r="E91" s="57" t="s">
        <v>114</v>
      </c>
      <c r="F91" s="59" t="e">
        <f>"("&amp;ROUND(D91/1000,3)&amp;" kWh)"</f>
        <v>#VALUE!</v>
      </c>
    </row>
    <row r="92" spans="1:6" s="21" customFormat="1" ht="15" customHeight="1">
      <c r="A92" s="458"/>
      <c r="B92" s="350" t="s">
        <v>357</v>
      </c>
      <c r="C92" s="350"/>
      <c r="D92" s="333" t="e">
        <f>(D81+D82)/(D81+D82+D90)</f>
        <v>#N/A</v>
      </c>
      <c r="E92" s="57" t="s">
        <v>203</v>
      </c>
      <c r="F92" s="59" t="e">
        <f>"("&amp;ROUND(D92*100,3)&amp;" %)"</f>
        <v>#N/A</v>
      </c>
    </row>
    <row r="93" spans="1:6" s="21" customFormat="1" ht="15" customHeight="1">
      <c r="A93" s="458"/>
      <c r="B93" s="350" t="s">
        <v>358</v>
      </c>
      <c r="C93" s="350"/>
      <c r="D93" s="58" t="e">
        <f>(D81+D82)/(D81+D82+D84+D91)</f>
        <v>#N/A</v>
      </c>
      <c r="E93" s="57" t="s">
        <v>203</v>
      </c>
      <c r="F93" s="59" t="e">
        <f>"("&amp;ROUND(D93*100,3)&amp;" %)"</f>
        <v>#N/A</v>
      </c>
    </row>
    <row r="94" spans="1:6" s="21" customFormat="1" ht="15" customHeight="1" thickBot="1">
      <c r="A94" s="304"/>
      <c r="B94" s="592" t="s">
        <v>344</v>
      </c>
      <c r="C94" s="593"/>
      <c r="D94" s="335" t="e">
        <f>D82/(D82+D81)</f>
        <v>#N/A</v>
      </c>
      <c r="E94" s="174" t="s">
        <v>203</v>
      </c>
      <c r="F94" s="175" t="e">
        <f>"("&amp;ROUND(D94*100,3)&amp;" %)"</f>
        <v>#N/A</v>
      </c>
    </row>
    <row r="95" spans="1:6" s="21" customFormat="1" ht="15" customHeight="1">
      <c r="A95" s="309" t="s">
        <v>328</v>
      </c>
      <c r="B95" s="285" t="s">
        <v>345</v>
      </c>
      <c r="C95" s="285"/>
      <c r="D95" s="329">
        <f>'Apports récupérables ECS (4)'!F253</f>
        <v>0</v>
      </c>
      <c r="E95" s="330" t="s">
        <v>114</v>
      </c>
      <c r="F95" s="331" t="str">
        <f>"("&amp;ROUND(D95/1000,3)&amp;" kWh)"</f>
        <v>(0 kWh)</v>
      </c>
    </row>
    <row r="96" spans="1:6" s="21" customFormat="1" ht="15" customHeight="1">
      <c r="A96" s="310"/>
      <c r="B96" s="350" t="s">
        <v>341</v>
      </c>
      <c r="C96" s="350"/>
      <c r="D96" s="332" t="e">
        <f>$C$21</f>
        <v>#N/A</v>
      </c>
      <c r="E96" s="52" t="s">
        <v>114</v>
      </c>
      <c r="F96" s="231" t="e">
        <f>"("&amp;ROUND(D96/1000,3)&amp;" kWh)"</f>
        <v>#N/A</v>
      </c>
    </row>
    <row r="97" spans="1:6" s="21" customFormat="1" ht="15" customHeight="1">
      <c r="A97" s="458"/>
      <c r="B97" s="350" t="s">
        <v>359</v>
      </c>
      <c r="C97" s="350"/>
      <c r="D97" s="332">
        <f>IF(AND($C$11&lt;&gt;"",$C$11&lt;&gt;0),$C$11*1.1628*(75-D99),0)</f>
        <v>0</v>
      </c>
      <c r="E97" s="52" t="s">
        <v>114</v>
      </c>
      <c r="F97" s="231" t="str">
        <f>"("&amp;ROUND(D97/1000,3)&amp;" kWh)"</f>
        <v>(0 kWh)</v>
      </c>
    </row>
    <row r="98" spans="1:6" s="21" customFormat="1" ht="15" customHeight="1">
      <c r="A98" s="458"/>
      <c r="B98" s="350" t="s">
        <v>354</v>
      </c>
      <c r="C98" s="350"/>
      <c r="D98" s="332">
        <f>IF(AND($C$11&lt;&gt;"",$C$11&lt;&gt;0),$C$11*1.1628*(75-30),0)</f>
        <v>0</v>
      </c>
      <c r="E98" s="52" t="s">
        <v>114</v>
      </c>
      <c r="F98" s="231" t="str">
        <f>"("&amp;ROUND(D98/1000,3)&amp;" kWh)"</f>
        <v>(0 kWh)</v>
      </c>
    </row>
    <row r="99" spans="1:6" s="21" customFormat="1" ht="15" customHeight="1">
      <c r="A99" s="458"/>
      <c r="B99" s="350" t="s">
        <v>271</v>
      </c>
      <c r="C99" s="350"/>
      <c r="D99" s="95" t="e">
        <f>'Rendement chauffage (10)'!E202</f>
        <v>#N/A</v>
      </c>
      <c r="E99" s="52" t="s">
        <v>7</v>
      </c>
      <c r="F99" s="231"/>
    </row>
    <row r="100" spans="1:6" s="21" customFormat="1" ht="15" customHeight="1">
      <c r="A100" s="458"/>
      <c r="B100" s="350" t="s">
        <v>352</v>
      </c>
      <c r="C100" s="350"/>
      <c r="D100" s="332" t="e">
        <f>(D96+D95+D97)/$C$10</f>
        <v>#N/A</v>
      </c>
      <c r="E100" s="52" t="s">
        <v>203</v>
      </c>
      <c r="F100" s="173" t="e">
        <f>"("&amp;ROUND(D100*100,3)&amp;" %)"</f>
        <v>#N/A</v>
      </c>
    </row>
    <row r="101" spans="1:6" s="21" customFormat="1" ht="15" customHeight="1">
      <c r="A101" s="458"/>
      <c r="B101" s="350" t="s">
        <v>353</v>
      </c>
      <c r="C101" s="350"/>
      <c r="D101" s="332" t="e">
        <f>(D96+D95+D98)/$C$10</f>
        <v>#N/A</v>
      </c>
      <c r="E101" s="52" t="s">
        <v>203</v>
      </c>
      <c r="F101" s="173" t="e">
        <f>"("&amp;ROUND(D101*100,3)&amp;" %)"</f>
        <v>#N/A</v>
      </c>
    </row>
    <row r="102" spans="1:6" s="21" customFormat="1" ht="15" customHeight="1">
      <c r="A102" s="458"/>
      <c r="B102" s="350" t="s">
        <v>223</v>
      </c>
      <c r="C102" s="350"/>
      <c r="D102" s="332" t="e">
        <f>($C$13+$D$13*LOG($C$10/1000))-0.5</f>
        <v>#VALUE!</v>
      </c>
      <c r="E102" s="52" t="s">
        <v>203</v>
      </c>
      <c r="F102" s="231"/>
    </row>
    <row r="103" spans="1:6" s="21" customFormat="1" ht="15" customHeight="1">
      <c r="A103" s="458"/>
      <c r="B103" s="350" t="s">
        <v>346</v>
      </c>
      <c r="C103" s="350"/>
      <c r="D103" s="332" t="e">
        <f>(100-D102)/D102*$C$10</f>
        <v>#VALUE!</v>
      </c>
      <c r="E103" s="52" t="s">
        <v>114</v>
      </c>
      <c r="F103" s="231" t="e">
        <f>"("&amp;ROUND(D103/1000,3)&amp;" kWh)"</f>
        <v>#VALUE!</v>
      </c>
    </row>
    <row r="104" spans="1:6" s="21" customFormat="1" ht="15" customHeight="1">
      <c r="A104" s="458"/>
      <c r="B104" s="350" t="s">
        <v>355</v>
      </c>
      <c r="C104" s="350"/>
      <c r="D104" s="333" t="e">
        <f>D103*D100</f>
        <v>#VALUE!</v>
      </c>
      <c r="E104" s="57" t="s">
        <v>114</v>
      </c>
      <c r="F104" s="59" t="e">
        <f>"("&amp;ROUND(D104/1000,3)&amp;" kWh)"</f>
        <v>#VALUE!</v>
      </c>
    </row>
    <row r="105" spans="1:6" s="21" customFormat="1" ht="15" customHeight="1">
      <c r="A105" s="458"/>
      <c r="B105" s="350" t="s">
        <v>356</v>
      </c>
      <c r="C105" s="350"/>
      <c r="D105" s="333" t="e">
        <f>D103*D101</f>
        <v>#VALUE!</v>
      </c>
      <c r="E105" s="57" t="s">
        <v>114</v>
      </c>
      <c r="F105" s="59" t="e">
        <f>"("&amp;ROUND(D105/1000,3)&amp;" kWh)"</f>
        <v>#VALUE!</v>
      </c>
    </row>
    <row r="106" spans="1:6" s="21" customFormat="1" ht="15" customHeight="1">
      <c r="A106" s="458"/>
      <c r="B106" s="350" t="s">
        <v>357</v>
      </c>
      <c r="C106" s="350"/>
      <c r="D106" s="333" t="e">
        <f>(D95+D96)/(D95+D96+D104)</f>
        <v>#N/A</v>
      </c>
      <c r="E106" s="57" t="s">
        <v>203</v>
      </c>
      <c r="F106" s="59" t="e">
        <f>"("&amp;ROUND(D106*100,3)&amp;" %)"</f>
        <v>#N/A</v>
      </c>
    </row>
    <row r="107" spans="1:6" s="21" customFormat="1" ht="15" customHeight="1">
      <c r="A107" s="458"/>
      <c r="B107" s="350" t="s">
        <v>358</v>
      </c>
      <c r="C107" s="350"/>
      <c r="D107" s="58" t="e">
        <f>(D95+D96)/(D95+D96+D98+D105)</f>
        <v>#N/A</v>
      </c>
      <c r="E107" s="57" t="s">
        <v>203</v>
      </c>
      <c r="F107" s="59" t="e">
        <f>"("&amp;ROUND(D107*100,3)&amp;" %)"</f>
        <v>#N/A</v>
      </c>
    </row>
    <row r="108" spans="1:6" s="21" customFormat="1" ht="15" customHeight="1" thickBot="1">
      <c r="A108" s="304"/>
      <c r="B108" s="592" t="s">
        <v>344</v>
      </c>
      <c r="C108" s="593"/>
      <c r="D108" s="335" t="e">
        <f>D96/(D96+D95)</f>
        <v>#N/A</v>
      </c>
      <c r="E108" s="174" t="s">
        <v>203</v>
      </c>
      <c r="F108" s="175" t="e">
        <f>"("&amp;ROUND(D108*100,3)&amp;" %)"</f>
        <v>#N/A</v>
      </c>
    </row>
    <row r="109" spans="1:6" s="21" customFormat="1" ht="15" customHeight="1">
      <c r="A109" s="309" t="s">
        <v>329</v>
      </c>
      <c r="B109" s="285" t="s">
        <v>345</v>
      </c>
      <c r="C109" s="285"/>
      <c r="D109" s="329">
        <f>'Apports récupérables ECS (4)'!F287</f>
        <v>0</v>
      </c>
      <c r="E109" s="330" t="s">
        <v>114</v>
      </c>
      <c r="F109" s="331" t="str">
        <f>"("&amp;ROUND(D109/1000,3)&amp;" kWh)"</f>
        <v>(0 kWh)</v>
      </c>
    </row>
    <row r="110" spans="1:6" s="21" customFormat="1" ht="15" customHeight="1">
      <c r="A110" s="310"/>
      <c r="B110" s="350" t="s">
        <v>341</v>
      </c>
      <c r="C110" s="350"/>
      <c r="D110" s="332" t="e">
        <f>$C$21</f>
        <v>#N/A</v>
      </c>
      <c r="E110" s="52" t="s">
        <v>114</v>
      </c>
      <c r="F110" s="231" t="e">
        <f>"("&amp;ROUND(D110/1000,3)&amp;" kWh)"</f>
        <v>#N/A</v>
      </c>
    </row>
    <row r="111" spans="1:6" s="21" customFormat="1" ht="15" customHeight="1">
      <c r="A111" s="458"/>
      <c r="B111" s="350" t="s">
        <v>359</v>
      </c>
      <c r="C111" s="350"/>
      <c r="D111" s="332">
        <f>IF(AND($C$11&lt;&gt;"",$C$11&lt;&gt;0),$C$11*1.1628*(75-D113),0)</f>
        <v>0</v>
      </c>
      <c r="E111" s="52" t="s">
        <v>114</v>
      </c>
      <c r="F111" s="231" t="str">
        <f>"("&amp;ROUND(D111/1000,3)&amp;" kWh)"</f>
        <v>(0 kWh)</v>
      </c>
    </row>
    <row r="112" spans="1:6" s="21" customFormat="1" ht="15" customHeight="1">
      <c r="A112" s="458"/>
      <c r="B112" s="350" t="s">
        <v>354</v>
      </c>
      <c r="C112" s="350"/>
      <c r="D112" s="332">
        <f>IF(AND($C$11&lt;&gt;"",$C$11&lt;&gt;0),$C$11*1.1628*(75-30),0)</f>
        <v>0</v>
      </c>
      <c r="E112" s="52" t="s">
        <v>114</v>
      </c>
      <c r="F112" s="231" t="str">
        <f>"("&amp;ROUND(D112/1000,3)&amp;" kWh)"</f>
        <v>(0 kWh)</v>
      </c>
    </row>
    <row r="113" spans="1:6" s="21" customFormat="1" ht="15" customHeight="1">
      <c r="A113" s="458"/>
      <c r="B113" s="350" t="s">
        <v>271</v>
      </c>
      <c r="C113" s="350"/>
      <c r="D113" s="95" t="e">
        <f>'Rendement chauffage (10)'!E238</f>
        <v>#N/A</v>
      </c>
      <c r="E113" s="52" t="s">
        <v>7</v>
      </c>
      <c r="F113" s="231"/>
    </row>
    <row r="114" spans="1:6" s="21" customFormat="1" ht="15" customHeight="1">
      <c r="A114" s="458"/>
      <c r="B114" s="350" t="s">
        <v>352</v>
      </c>
      <c r="C114" s="350"/>
      <c r="D114" s="332" t="e">
        <f>(D110+D109+D111)/$C$10</f>
        <v>#N/A</v>
      </c>
      <c r="E114" s="52" t="s">
        <v>203</v>
      </c>
      <c r="F114" s="173" t="e">
        <f>"("&amp;ROUND(D114*100,3)&amp;" %)"</f>
        <v>#N/A</v>
      </c>
    </row>
    <row r="115" spans="1:6" s="21" customFormat="1" ht="15" customHeight="1">
      <c r="A115" s="458"/>
      <c r="B115" s="350" t="s">
        <v>353</v>
      </c>
      <c r="C115" s="350"/>
      <c r="D115" s="332" t="e">
        <f>(D110+D109+D112)/$C$10</f>
        <v>#N/A</v>
      </c>
      <c r="E115" s="52" t="s">
        <v>203</v>
      </c>
      <c r="F115" s="173" t="e">
        <f>"("&amp;ROUND(D115*100,3)&amp;" %)"</f>
        <v>#N/A</v>
      </c>
    </row>
    <row r="116" spans="1:6" s="21" customFormat="1" ht="15" customHeight="1">
      <c r="A116" s="458"/>
      <c r="B116" s="350" t="s">
        <v>223</v>
      </c>
      <c r="C116" s="350"/>
      <c r="D116" s="332" t="e">
        <f>($C$13+$D$13*LOG($C$10/1000))-0.5</f>
        <v>#VALUE!</v>
      </c>
      <c r="E116" s="52" t="s">
        <v>203</v>
      </c>
      <c r="F116" s="231"/>
    </row>
    <row r="117" spans="1:6" s="21" customFormat="1" ht="15" customHeight="1">
      <c r="A117" s="458"/>
      <c r="B117" s="350" t="s">
        <v>346</v>
      </c>
      <c r="C117" s="350"/>
      <c r="D117" s="332" t="e">
        <f>(100-D116)/D116*$C$10</f>
        <v>#VALUE!</v>
      </c>
      <c r="E117" s="52" t="s">
        <v>114</v>
      </c>
      <c r="F117" s="231" t="e">
        <f>"("&amp;ROUND(D117/1000,3)&amp;" kWh)"</f>
        <v>#VALUE!</v>
      </c>
    </row>
    <row r="118" spans="1:6" s="21" customFormat="1" ht="15" customHeight="1">
      <c r="A118" s="458"/>
      <c r="B118" s="350" t="s">
        <v>355</v>
      </c>
      <c r="C118" s="350"/>
      <c r="D118" s="333" t="e">
        <f>D117*D114</f>
        <v>#VALUE!</v>
      </c>
      <c r="E118" s="57" t="s">
        <v>114</v>
      </c>
      <c r="F118" s="59" t="e">
        <f>"("&amp;ROUND(D118/1000,3)&amp;" kWh)"</f>
        <v>#VALUE!</v>
      </c>
    </row>
    <row r="119" spans="1:6" s="21" customFormat="1" ht="15" customHeight="1">
      <c r="A119" s="458"/>
      <c r="B119" s="350" t="s">
        <v>356</v>
      </c>
      <c r="C119" s="350"/>
      <c r="D119" s="333" t="e">
        <f>D117*D115</f>
        <v>#VALUE!</v>
      </c>
      <c r="E119" s="57" t="s">
        <v>114</v>
      </c>
      <c r="F119" s="59" t="e">
        <f>"("&amp;ROUND(D119/1000,3)&amp;" kWh)"</f>
        <v>#VALUE!</v>
      </c>
    </row>
    <row r="120" spans="1:6" s="21" customFormat="1" ht="15" customHeight="1">
      <c r="A120" s="458"/>
      <c r="B120" s="350" t="s">
        <v>357</v>
      </c>
      <c r="C120" s="350"/>
      <c r="D120" s="333" t="e">
        <f>(D109+D110)/(D109+D110+D118)</f>
        <v>#N/A</v>
      </c>
      <c r="E120" s="57" t="s">
        <v>203</v>
      </c>
      <c r="F120" s="59" t="e">
        <f>"("&amp;ROUND(D120*100,3)&amp;" %)"</f>
        <v>#N/A</v>
      </c>
    </row>
    <row r="121" spans="1:6" s="21" customFormat="1" ht="15" customHeight="1">
      <c r="A121" s="458"/>
      <c r="B121" s="350" t="s">
        <v>358</v>
      </c>
      <c r="C121" s="350"/>
      <c r="D121" s="58" t="e">
        <f>(D109+D110)/(D109+D110+D112+D119)</f>
        <v>#N/A</v>
      </c>
      <c r="E121" s="57" t="s">
        <v>203</v>
      </c>
      <c r="F121" s="59" t="e">
        <f>"("&amp;ROUND(D121*100,3)&amp;" %)"</f>
        <v>#N/A</v>
      </c>
    </row>
    <row r="122" spans="1:6" s="21" customFormat="1" ht="15" customHeight="1" thickBot="1">
      <c r="A122" s="304"/>
      <c r="B122" s="592" t="s">
        <v>344</v>
      </c>
      <c r="C122" s="593"/>
      <c r="D122" s="335" t="e">
        <f>D110/(D110+D109)</f>
        <v>#N/A</v>
      </c>
      <c r="E122" s="174" t="s">
        <v>203</v>
      </c>
      <c r="F122" s="175" t="e">
        <f>"("&amp;ROUND(D122*100,3)&amp;" %)"</f>
        <v>#N/A</v>
      </c>
    </row>
    <row r="123" spans="1:6" ht="15" customHeight="1" thickBot="1">
      <c r="A123" s="448"/>
      <c r="B123" s="449"/>
      <c r="C123" s="449"/>
      <c r="D123" s="449"/>
      <c r="E123" s="449"/>
      <c r="F123" s="450"/>
    </row>
    <row r="124" spans="1:6" ht="15" customHeight="1">
      <c r="A124" s="301" t="s">
        <v>220</v>
      </c>
      <c r="B124" s="302"/>
      <c r="C124" s="302"/>
      <c r="D124" s="302"/>
      <c r="E124" s="302"/>
      <c r="F124" s="303"/>
    </row>
    <row r="125" spans="1:7" ht="15" customHeight="1">
      <c r="A125" s="308" t="s">
        <v>348</v>
      </c>
      <c r="B125" s="350"/>
      <c r="C125" s="88">
        <f>'Apports récupérables ECS (4)'!D295</f>
        <v>0</v>
      </c>
      <c r="D125" s="74" t="s">
        <v>114</v>
      </c>
      <c r="E125" s="51" t="str">
        <f aca="true" t="shared" si="0" ref="E125:E130">"("&amp;ROUND(C125/1000,3)&amp;" kWh)"</f>
        <v>(0 kWh)</v>
      </c>
      <c r="F125" s="316"/>
      <c r="G125" s="336"/>
    </row>
    <row r="126" spans="1:7" ht="15" customHeight="1">
      <c r="A126" s="308" t="s">
        <v>349</v>
      </c>
      <c r="B126" s="350"/>
      <c r="C126" s="88" t="e">
        <f>C21*7</f>
        <v>#N/A</v>
      </c>
      <c r="D126" s="74" t="s">
        <v>114</v>
      </c>
      <c r="E126" s="51" t="e">
        <f t="shared" si="0"/>
        <v>#N/A</v>
      </c>
      <c r="F126" s="316"/>
      <c r="G126" s="336"/>
    </row>
    <row r="127" spans="1:6" ht="15" customHeight="1">
      <c r="A127" s="308" t="s">
        <v>360</v>
      </c>
      <c r="B127" s="350"/>
      <c r="C127" s="88">
        <f>D27+D41+D55+D69+D83+D97+D111</f>
        <v>0</v>
      </c>
      <c r="D127" s="74" t="s">
        <v>114</v>
      </c>
      <c r="E127" s="51" t="str">
        <f t="shared" si="0"/>
        <v>(0 kWh)</v>
      </c>
      <c r="F127" s="316"/>
    </row>
    <row r="128" spans="1:6" ht="15" customHeight="1">
      <c r="A128" s="308" t="s">
        <v>361</v>
      </c>
      <c r="B128" s="350"/>
      <c r="C128" s="88">
        <f>D28+D42+D56+D70+D84+D98+D112</f>
        <v>0</v>
      </c>
      <c r="D128" s="74" t="s">
        <v>114</v>
      </c>
      <c r="E128" s="51" t="str">
        <f t="shared" si="0"/>
        <v>(0 kWh)</v>
      </c>
      <c r="F128" s="316"/>
    </row>
    <row r="129" spans="1:6" ht="15" customHeight="1">
      <c r="A129" s="308" t="s">
        <v>362</v>
      </c>
      <c r="B129" s="350"/>
      <c r="C129" s="58" t="e">
        <f>D33+D48+D62+D76+D90+D104+D118</f>
        <v>#VALUE!</v>
      </c>
      <c r="D129" s="57" t="s">
        <v>114</v>
      </c>
      <c r="E129" s="181" t="e">
        <f t="shared" si="0"/>
        <v>#VALUE!</v>
      </c>
      <c r="F129" s="316"/>
    </row>
    <row r="130" spans="1:6" ht="15" customHeight="1">
      <c r="A130" s="308" t="s">
        <v>363</v>
      </c>
      <c r="B130" s="350"/>
      <c r="C130" s="58" t="e">
        <f>D34+D49+D63+D77+D91+D105+D119</f>
        <v>#VALUE!</v>
      </c>
      <c r="D130" s="57" t="s">
        <v>114</v>
      </c>
      <c r="E130" s="181" t="e">
        <f t="shared" si="0"/>
        <v>#VALUE!</v>
      </c>
      <c r="F130" s="316"/>
    </row>
    <row r="131" spans="1:6" ht="15" customHeight="1">
      <c r="A131" s="308" t="s">
        <v>364</v>
      </c>
      <c r="B131" s="350"/>
      <c r="C131" s="58" t="e">
        <f>($C$126+C125)/($C$126+C129+$C$125)</f>
        <v>#N/A</v>
      </c>
      <c r="D131" s="57" t="s">
        <v>203</v>
      </c>
      <c r="E131" s="181" t="e">
        <f>"("&amp;ROUND(C131*100,3)&amp;" %)"</f>
        <v>#N/A</v>
      </c>
      <c r="F131" s="316"/>
    </row>
    <row r="132" spans="1:6" ht="15" customHeight="1" thickBot="1">
      <c r="A132" s="341" t="s">
        <v>365</v>
      </c>
      <c r="B132" s="342"/>
      <c r="C132" s="76" t="e">
        <f>($C$126+$C$125)/($C$126+C130+C128+$C$125)</f>
        <v>#N/A</v>
      </c>
      <c r="D132" s="174" t="s">
        <v>203</v>
      </c>
      <c r="E132" s="182" t="e">
        <f>"("&amp;ROUND(C132*100,3)&amp;" %)"</f>
        <v>#N/A</v>
      </c>
      <c r="F132" s="315"/>
    </row>
    <row r="133" spans="1:6" ht="15" customHeight="1" thickBot="1">
      <c r="A133" s="381"/>
      <c r="B133" s="382"/>
      <c r="C133" s="382"/>
      <c r="D133" s="382"/>
      <c r="E133" s="382"/>
      <c r="F133" s="383"/>
    </row>
    <row r="134" spans="1:6" ht="15" customHeight="1">
      <c r="A134" s="301" t="s">
        <v>165</v>
      </c>
      <c r="B134" s="417"/>
      <c r="C134" s="417"/>
      <c r="D134" s="417"/>
      <c r="E134" s="417"/>
      <c r="F134" s="286"/>
    </row>
    <row r="135" spans="1:6" ht="15" customHeight="1" thickBot="1">
      <c r="A135" s="341" t="s">
        <v>163</v>
      </c>
      <c r="B135" s="342"/>
      <c r="C135" s="75">
        <f>IF('Logement (1)'!C49="Oui",'Logement (1)'!C50,0)</f>
        <v>0</v>
      </c>
      <c r="D135" s="63" t="s">
        <v>164</v>
      </c>
      <c r="E135" s="575"/>
      <c r="F135" s="594"/>
    </row>
    <row r="136" spans="1:6" ht="15" customHeight="1" thickBot="1">
      <c r="A136" s="381"/>
      <c r="B136" s="382"/>
      <c r="C136" s="382"/>
      <c r="D136" s="382"/>
      <c r="E136" s="382"/>
      <c r="F136" s="383"/>
    </row>
    <row r="137" spans="1:6" ht="15" customHeight="1">
      <c r="A137" s="301" t="str">
        <f>"Valeurs pour le mois "&amp;IF(OR($C$4="avril",$C$4="août",$C$4="octobre"),"d'","de ")&amp;IF(C4&lt;&gt;0,C4,"")</f>
        <v>Valeurs pour le mois de </v>
      </c>
      <c r="B137" s="302"/>
      <c r="C137" s="302"/>
      <c r="D137" s="302"/>
      <c r="E137" s="302"/>
      <c r="F137" s="303"/>
    </row>
    <row r="138" spans="1:6" ht="15" customHeight="1">
      <c r="A138" s="308" t="str">
        <f>"Nombre de jours du mois "&amp;IF(OR($C$4="avril",$C$4="août",$C$4="octobre"),"d'","de ")&amp;IF(C4&lt;&gt;0,C4,"")&amp;" :"</f>
        <v>Nombre de jours du mois de  :</v>
      </c>
      <c r="B138" s="350"/>
      <c r="C138" s="74">
        <f>'Logement (1)'!C53</f>
        <v>31</v>
      </c>
      <c r="D138" s="74" t="s">
        <v>164</v>
      </c>
      <c r="E138" s="317"/>
      <c r="F138" s="316"/>
    </row>
    <row r="139" spans="1:6" ht="15" customHeight="1">
      <c r="A139" s="308" t="str">
        <f>"Nombre de jours de chauffage pour le mois "&amp;IF(OR($C$4="avril",$C$4="août",$C$4="octobre"),"d'","de ")&amp;IF(C4&lt;&gt;0,C4,"")&amp;" :"</f>
        <v>Nombre de jours de chauffage pour le mois de  :</v>
      </c>
      <c r="B139" s="350"/>
      <c r="C139" s="74">
        <f>'Logement (1)'!C55</f>
        <v>31</v>
      </c>
      <c r="D139" s="74" t="s">
        <v>164</v>
      </c>
      <c r="E139" s="350"/>
      <c r="F139" s="316"/>
    </row>
    <row r="140" spans="1:6" ht="15" customHeight="1">
      <c r="A140" s="308" t="str">
        <f>"Nombre de jours de chauffage hors vacances pour le mois "&amp;IF(OR($C$4="avril",$C$4="août",$C$4="octobre"),"d'","de ")&amp;IF(C4&lt;&gt;0,C4,"")&amp;" :"</f>
        <v>Nombre de jours de chauffage hors vacances pour le mois de  :</v>
      </c>
      <c r="B140" s="350"/>
      <c r="C140" s="74">
        <f>'Logement (1)'!C56</f>
        <v>31</v>
      </c>
      <c r="D140" s="74" t="s">
        <v>164</v>
      </c>
      <c r="E140" s="350"/>
      <c r="F140" s="316"/>
    </row>
    <row r="141" spans="1:6" ht="15" customHeight="1">
      <c r="A141" s="308" t="s">
        <v>377</v>
      </c>
      <c r="B141" s="350"/>
      <c r="C141" s="74">
        <f>'Logement (1)'!C58</f>
        <v>0</v>
      </c>
      <c r="D141" s="74" t="s">
        <v>164</v>
      </c>
      <c r="E141" s="350"/>
      <c r="F141" s="316"/>
    </row>
    <row r="142" spans="1:6" ht="15" customHeight="1">
      <c r="A142" s="308" t="s">
        <v>379</v>
      </c>
      <c r="B142" s="350"/>
      <c r="C142" s="88">
        <f>C127*(C140/7)</f>
        <v>0</v>
      </c>
      <c r="D142" s="74" t="s">
        <v>114</v>
      </c>
      <c r="E142" s="51" t="str">
        <f aca="true" t="shared" si="1" ref="E142:E148">"("&amp;ROUND(C142/1000,3)&amp;" kWh)"</f>
        <v>(0 kWh)</v>
      </c>
      <c r="F142" s="316"/>
    </row>
    <row r="143" spans="1:6" ht="15" customHeight="1">
      <c r="A143" s="308" t="s">
        <v>378</v>
      </c>
      <c r="B143" s="350"/>
      <c r="C143" s="88">
        <f>C128*(C141/7)</f>
        <v>0</v>
      </c>
      <c r="D143" s="74" t="s">
        <v>114</v>
      </c>
      <c r="E143" s="51" t="str">
        <f t="shared" si="1"/>
        <v>(0 kWh)</v>
      </c>
      <c r="F143" s="316"/>
    </row>
    <row r="144" spans="1:6" ht="15" customHeight="1">
      <c r="A144" s="308" t="str">
        <f>"Pertes thermiques de distribution et stockage en période de chauffage pour le mois "&amp;IF(OR($C$4="avril",$C$4="août",$C$4="octobre"),"d'","de ")&amp;IF(C4&lt;&gt;0,C4,"")&amp;" :"</f>
        <v>Pertes thermiques de distribution et stockage en période de chauffage pour le mois de  :</v>
      </c>
      <c r="B144" s="350"/>
      <c r="C144" s="56">
        <f>C125*(C140/7)</f>
        <v>0</v>
      </c>
      <c r="D144" s="74" t="s">
        <v>114</v>
      </c>
      <c r="E144" s="51" t="str">
        <f t="shared" si="1"/>
        <v>(0 kWh)</v>
      </c>
      <c r="F144" s="316"/>
    </row>
    <row r="145" spans="1:6" ht="15" customHeight="1">
      <c r="A145" s="308" t="str">
        <f>"Pertes thermiques de distribution et stockage hors période de chauffage pour le mois "&amp;IF(OR($C$4="avril",$C$4="août",$C$4="octobre"),"d'","de ")&amp;IF(C4&lt;&gt;0,C4,"")&amp;" :"</f>
        <v>Pertes thermiques de distribution et stockage hors période de chauffage pour le mois de  :</v>
      </c>
      <c r="B145" s="350"/>
      <c r="C145" s="56">
        <f>C125*(C141/7)</f>
        <v>0</v>
      </c>
      <c r="D145" s="74" t="s">
        <v>114</v>
      </c>
      <c r="E145" s="51" t="str">
        <f t="shared" si="1"/>
        <v>(0 kWh)</v>
      </c>
      <c r="F145" s="316"/>
    </row>
    <row r="146" spans="1:6" ht="15" customHeight="1">
      <c r="A146" s="433" t="str">
        <f>"Besoins en ECS pour le mois "&amp;IF(OR($C$4="avril",$C$4="août",$C$4="octobre"),"d'","de ")&amp;IF(C4&lt;&gt;0,C4,"")&amp;" :"</f>
        <v>Besoins en ECS pour le mois de  :</v>
      </c>
      <c r="B146" s="276"/>
      <c r="C146" s="56" t="e">
        <f>'Besoins en ECS (9)'!C21</f>
        <v>#N/A</v>
      </c>
      <c r="D146" s="74" t="s">
        <v>114</v>
      </c>
      <c r="E146" s="51" t="e">
        <f t="shared" si="1"/>
        <v>#N/A</v>
      </c>
      <c r="F146" s="316"/>
    </row>
    <row r="147" spans="1:6" ht="15" customHeight="1">
      <c r="A147" s="433" t="str">
        <f>"Pertes thermiques de génération en saison de chauffage pour le mois "&amp;IF(OR($C$4="avril",$C$4="août",$C$4="octobre"),"d'","de ")&amp;IF(C4&lt;&gt;0,C4,"")&amp;" :"</f>
        <v>Pertes thermiques de génération en saison de chauffage pour le mois de  :</v>
      </c>
      <c r="B147" s="276"/>
      <c r="C147" s="56" t="e">
        <f>C129*(C140/7)</f>
        <v>#VALUE!</v>
      </c>
      <c r="D147" s="74" t="s">
        <v>114</v>
      </c>
      <c r="E147" s="51" t="e">
        <f t="shared" si="1"/>
        <v>#VALUE!</v>
      </c>
      <c r="F147" s="316"/>
    </row>
    <row r="148" spans="1:6" ht="15" customHeight="1">
      <c r="A148" s="308" t="str">
        <f>"Pertes thermiques de génération hors saison de chauffage pour le mois "&amp;IF(OR($C$4="avril",$C$4="août",$C$4="octobre"),"d'","de ")&amp;IF(C4&lt;&gt;0,C4,"")&amp;" :"</f>
        <v>Pertes thermiques de génération hors saison de chauffage pour le mois de  :</v>
      </c>
      <c r="B148" s="350"/>
      <c r="C148" s="56" t="e">
        <f>C130*(C141/7)</f>
        <v>#VALUE!</v>
      </c>
      <c r="D148" s="74" t="s">
        <v>114</v>
      </c>
      <c r="E148" s="51" t="e">
        <f t="shared" si="1"/>
        <v>#VALUE!</v>
      </c>
      <c r="F148" s="316"/>
    </row>
    <row r="149" spans="1:6" ht="15" customHeight="1">
      <c r="A149" s="337"/>
      <c r="B149" s="8"/>
      <c r="C149" s="8"/>
      <c r="D149" s="8"/>
      <c r="E149" s="8"/>
      <c r="F149" s="316"/>
    </row>
    <row r="150" spans="1:6" ht="15" customHeight="1">
      <c r="A150" s="308" t="str">
        <f>"Pertes thermiques totales de distribution et stockage pour le mois "&amp;IF(OR($C$4="avril",$C$4="août",$C$4="octobre"),"d'","de ")&amp;IF(C4&lt;&gt;0,C4,"")&amp;" :"</f>
        <v>Pertes thermiques totales de distribution et stockage pour le mois de  :</v>
      </c>
      <c r="B150" s="350"/>
      <c r="C150" s="61">
        <f>C144+C145</f>
        <v>0</v>
      </c>
      <c r="D150" s="60" t="s">
        <v>114</v>
      </c>
      <c r="E150" s="184" t="str">
        <f>"("&amp;ROUND(C150/1000,3)&amp;" kWh)"</f>
        <v>(0 kWh)</v>
      </c>
      <c r="F150" s="316"/>
    </row>
    <row r="151" spans="1:6" ht="15" customHeight="1">
      <c r="A151" s="308" t="str">
        <f>"Pertes thermiques totales de génération pour le mois "&amp;IF(OR($C$4="avril",$C$4="août",$C$4="octobre"),"d'","de ")&amp;IF(C4&lt;&gt;0,C4,"")&amp;" :"</f>
        <v>Pertes thermiques totales de génération pour le mois de  :</v>
      </c>
      <c r="B151" s="350"/>
      <c r="C151" s="61" t="e">
        <f>C147+C148</f>
        <v>#VALUE!</v>
      </c>
      <c r="D151" s="60" t="s">
        <v>114</v>
      </c>
      <c r="E151" s="184" t="e">
        <f>"("&amp;ROUND(C151/1000,3)&amp;" kWh)"</f>
        <v>#VALUE!</v>
      </c>
      <c r="F151" s="316"/>
    </row>
    <row r="152" spans="1:6" s="219" customFormat="1" ht="15" customHeight="1">
      <c r="A152" s="308" t="str">
        <f>"Rendement de génération pour le mois "&amp;IF(OR($C$4="avril",$C$4="août",$C$4="octobre"),"d'","de ")&amp;IF(C4&lt;&gt;0,C4,"")&amp;" :"</f>
        <v>Rendement de génération pour le mois de  :</v>
      </c>
      <c r="B152" s="350"/>
      <c r="C152" s="61" t="e">
        <f>(C146+C150)/(C146+C150+C151)</f>
        <v>#N/A</v>
      </c>
      <c r="D152" s="60" t="s">
        <v>203</v>
      </c>
      <c r="E152" s="184" t="e">
        <f>"("&amp;ROUND(C152*100,3)&amp;" %)"</f>
        <v>#N/A</v>
      </c>
      <c r="F152" s="316"/>
    </row>
    <row r="153" spans="1:6" s="219" customFormat="1" ht="15" customHeight="1">
      <c r="A153" s="308" t="str">
        <f>"Rendement de distribution pour le mois "&amp;IF(OR($C$4="avril",$C$4="août",$C$4="octobre"),"d'","de ")&amp;IF(C4&lt;&gt;0,C4,"")&amp;" :"</f>
        <v>Rendement de distribution pour le mois de  :</v>
      </c>
      <c r="B153" s="350"/>
      <c r="C153" s="61" t="e">
        <f>C146/(C146+C150)</f>
        <v>#N/A</v>
      </c>
      <c r="D153" s="60" t="s">
        <v>203</v>
      </c>
      <c r="E153" s="184" t="e">
        <f>"("&amp;ROUND(C153*100,3)&amp;" %)"</f>
        <v>#N/A</v>
      </c>
      <c r="F153" s="316"/>
    </row>
    <row r="154" spans="1:6" s="219" customFormat="1" ht="15" customHeight="1">
      <c r="A154" s="308" t="str">
        <f>"Pertes thermiques totales pour le mois "&amp;IF(OR($C$4="avril",$C$4="août",$C$4="octobre"),"d'","de ")&amp;IF(C4&lt;&gt;0,C4,"")&amp;" :"</f>
        <v>Pertes thermiques totales pour le mois de  :</v>
      </c>
      <c r="B154" s="350"/>
      <c r="C154" s="61" t="e">
        <f>C143+C150+C151</f>
        <v>#VALUE!</v>
      </c>
      <c r="D154" s="60" t="s">
        <v>114</v>
      </c>
      <c r="E154" s="184" t="e">
        <f>"("&amp;ROUND(C154/1000,3)&amp;" kWh)"</f>
        <v>#VALUE!</v>
      </c>
      <c r="F154" s="316"/>
    </row>
    <row r="155" spans="1:6" s="219" customFormat="1" ht="15" customHeight="1" thickBot="1">
      <c r="A155" s="341" t="str">
        <f>"Rendement global du système de production d'ECS pour le mois "&amp;IF(OR($C$4="avril",$C$4="août",$C$4="octobre"),"d'","de ")&amp;IF(C4&lt;&gt;0,C4,"")&amp;" :"</f>
        <v>Rendement global du système de production d'ECS pour le mois de  :</v>
      </c>
      <c r="B155" s="342"/>
      <c r="C155" s="65" t="e">
        <f>C146/(C146+C154)</f>
        <v>#N/A</v>
      </c>
      <c r="D155" s="64" t="s">
        <v>203</v>
      </c>
      <c r="E155" s="185" t="e">
        <f>"("&amp;ROUND(C155*100,3)&amp;" %)"</f>
        <v>#N/A</v>
      </c>
      <c r="F155" s="315"/>
    </row>
  </sheetData>
  <sheetProtection sheet="1" objects="1" scenarios="1" selectLockedCells="1"/>
  <mergeCells count="165">
    <mergeCell ref="A145:B145"/>
    <mergeCell ref="A147:B147"/>
    <mergeCell ref="A151:B151"/>
    <mergeCell ref="A152:B152"/>
    <mergeCell ref="A5:B5"/>
    <mergeCell ref="A6:B6"/>
    <mergeCell ref="A7:B7"/>
    <mergeCell ref="A1:F1"/>
    <mergeCell ref="A2:F2"/>
    <mergeCell ref="A3:B3"/>
    <mergeCell ref="A4:B4"/>
    <mergeCell ref="A24:F24"/>
    <mergeCell ref="A25:A38"/>
    <mergeCell ref="B26:C26"/>
    <mergeCell ref="B38:C38"/>
    <mergeCell ref="B25:C25"/>
    <mergeCell ref="B35:C35"/>
    <mergeCell ref="B36:C36"/>
    <mergeCell ref="A9:F9"/>
    <mergeCell ref="E10:F11"/>
    <mergeCell ref="A11:B11"/>
    <mergeCell ref="A16:B16"/>
    <mergeCell ref="E14:F19"/>
    <mergeCell ref="A17:B17"/>
    <mergeCell ref="A10:B10"/>
    <mergeCell ref="A12:B12"/>
    <mergeCell ref="A14:B14"/>
    <mergeCell ref="A53:A66"/>
    <mergeCell ref="B53:C53"/>
    <mergeCell ref="B56:C56"/>
    <mergeCell ref="B57:C57"/>
    <mergeCell ref="B65:C65"/>
    <mergeCell ref="B60:C60"/>
    <mergeCell ref="B63:C63"/>
    <mergeCell ref="B64:C64"/>
    <mergeCell ref="B62:C62"/>
    <mergeCell ref="B59:C59"/>
    <mergeCell ref="A39:A52"/>
    <mergeCell ref="B39:C39"/>
    <mergeCell ref="B40:C40"/>
    <mergeCell ref="B52:C52"/>
    <mergeCell ref="A81:A94"/>
    <mergeCell ref="B81:C81"/>
    <mergeCell ref="B91:C91"/>
    <mergeCell ref="B93:C93"/>
    <mergeCell ref="B89:C89"/>
    <mergeCell ref="B84:C84"/>
    <mergeCell ref="B85:C85"/>
    <mergeCell ref="B87:C87"/>
    <mergeCell ref="B88:C88"/>
    <mergeCell ref="B83:C83"/>
    <mergeCell ref="B108:C108"/>
    <mergeCell ref="B98:C98"/>
    <mergeCell ref="B99:C99"/>
    <mergeCell ref="B101:C101"/>
    <mergeCell ref="B107:C107"/>
    <mergeCell ref="B102:C102"/>
    <mergeCell ref="B100:C100"/>
    <mergeCell ref="B104:C104"/>
    <mergeCell ref="A123:F123"/>
    <mergeCell ref="B43:C43"/>
    <mergeCell ref="B45:C45"/>
    <mergeCell ref="B46:C46"/>
    <mergeCell ref="B47:C47"/>
    <mergeCell ref="B49:C49"/>
    <mergeCell ref="B51:C51"/>
    <mergeCell ref="B61:C61"/>
    <mergeCell ref="B74:C74"/>
    <mergeCell ref="B75:C75"/>
    <mergeCell ref="A8:B8"/>
    <mergeCell ref="E3:F8"/>
    <mergeCell ref="B37:C37"/>
    <mergeCell ref="B41:C41"/>
    <mergeCell ref="A20:F20"/>
    <mergeCell ref="A21:B21"/>
    <mergeCell ref="F21:F22"/>
    <mergeCell ref="A22:B22"/>
    <mergeCell ref="B28:C28"/>
    <mergeCell ref="B31:C31"/>
    <mergeCell ref="A125:B125"/>
    <mergeCell ref="F125:F132"/>
    <mergeCell ref="A126:B126"/>
    <mergeCell ref="A130:B130"/>
    <mergeCell ref="A132:B132"/>
    <mergeCell ref="A127:B127"/>
    <mergeCell ref="A129:B129"/>
    <mergeCell ref="A131:B131"/>
    <mergeCell ref="B86:C86"/>
    <mergeCell ref="B33:C33"/>
    <mergeCell ref="B34:C34"/>
    <mergeCell ref="B27:C27"/>
    <mergeCell ref="B29:C29"/>
    <mergeCell ref="B30:C30"/>
    <mergeCell ref="B32:C32"/>
    <mergeCell ref="B70:C70"/>
    <mergeCell ref="B67:C67"/>
    <mergeCell ref="B54:C54"/>
    <mergeCell ref="B110:C110"/>
    <mergeCell ref="B97:C97"/>
    <mergeCell ref="B106:C106"/>
    <mergeCell ref="A67:A80"/>
    <mergeCell ref="B82:C82"/>
    <mergeCell ref="B77:C77"/>
    <mergeCell ref="B79:C79"/>
    <mergeCell ref="A95:A108"/>
    <mergeCell ref="B95:C95"/>
    <mergeCell ref="B96:C96"/>
    <mergeCell ref="B112:C112"/>
    <mergeCell ref="B121:C121"/>
    <mergeCell ref="B118:C118"/>
    <mergeCell ref="B120:C120"/>
    <mergeCell ref="B80:C80"/>
    <mergeCell ref="B71:C71"/>
    <mergeCell ref="B73:C73"/>
    <mergeCell ref="B78:C78"/>
    <mergeCell ref="B69:C69"/>
    <mergeCell ref="B68:C68"/>
    <mergeCell ref="B66:C66"/>
    <mergeCell ref="A135:B135"/>
    <mergeCell ref="A134:F134"/>
    <mergeCell ref="E135:F135"/>
    <mergeCell ref="A109:A122"/>
    <mergeCell ref="B109:C109"/>
    <mergeCell ref="B119:C119"/>
    <mergeCell ref="B94:C94"/>
    <mergeCell ref="A23:F23"/>
    <mergeCell ref="A124:F124"/>
    <mergeCell ref="B113:C113"/>
    <mergeCell ref="B115:C115"/>
    <mergeCell ref="B116:C116"/>
    <mergeCell ref="B117:C117"/>
    <mergeCell ref="B103:C103"/>
    <mergeCell ref="B105:C105"/>
    <mergeCell ref="B72:C72"/>
    <mergeCell ref="B76:C76"/>
    <mergeCell ref="A136:F136"/>
    <mergeCell ref="F138:F155"/>
    <mergeCell ref="A144:B144"/>
    <mergeCell ref="A150:B150"/>
    <mergeCell ref="A146:B146"/>
    <mergeCell ref="A148:B148"/>
    <mergeCell ref="A153:B153"/>
    <mergeCell ref="A143:B143"/>
    <mergeCell ref="A154:B154"/>
    <mergeCell ref="A155:B155"/>
    <mergeCell ref="B122:C122"/>
    <mergeCell ref="B114:C114"/>
    <mergeCell ref="B42:C42"/>
    <mergeCell ref="B44:C44"/>
    <mergeCell ref="B90:C90"/>
    <mergeCell ref="B92:C92"/>
    <mergeCell ref="B48:C48"/>
    <mergeCell ref="B50:C50"/>
    <mergeCell ref="B55:C55"/>
    <mergeCell ref="B58:C58"/>
    <mergeCell ref="B111:C111"/>
    <mergeCell ref="A142:B142"/>
    <mergeCell ref="A140:B140"/>
    <mergeCell ref="E138:E141"/>
    <mergeCell ref="A141:B141"/>
    <mergeCell ref="A133:F133"/>
    <mergeCell ref="A128:B128"/>
    <mergeCell ref="A137:F137"/>
    <mergeCell ref="A138:B138"/>
    <mergeCell ref="A139:B139"/>
  </mergeCells>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sheetPr codeName="Feuil15"/>
  <dimension ref="A1:G124"/>
  <sheetViews>
    <sheetView showGridLines="0" workbookViewId="0" topLeftCell="A1">
      <selection activeCell="C7" sqref="C7"/>
    </sheetView>
  </sheetViews>
  <sheetFormatPr defaultColWidth="11.421875" defaultRowHeight="12.75"/>
  <cols>
    <col min="1" max="1" width="19.8515625" style="5" customWidth="1"/>
    <col min="2" max="2" width="31.7109375" style="5" customWidth="1"/>
    <col min="3" max="3" width="11.421875" style="5" customWidth="1"/>
    <col min="4" max="4" width="36.421875" style="5" customWidth="1"/>
    <col min="5" max="5" width="13.28125" style="5" customWidth="1"/>
    <col min="6" max="6" width="4.421875" style="5" customWidth="1"/>
    <col min="7" max="7" width="18.57421875" style="5" customWidth="1"/>
    <col min="8" max="16384" width="11.421875" style="5" customWidth="1"/>
  </cols>
  <sheetData>
    <row r="1" spans="1:7" ht="16.5" thickBot="1">
      <c r="A1" s="543" t="s">
        <v>420</v>
      </c>
      <c r="B1" s="544"/>
      <c r="C1" s="544"/>
      <c r="D1" s="544"/>
      <c r="E1" s="544"/>
      <c r="F1" s="544"/>
      <c r="G1" s="596"/>
    </row>
    <row r="2" spans="1:7" ht="12.75">
      <c r="A2" s="597"/>
      <c r="B2" s="423"/>
      <c r="C2" s="423"/>
      <c r="D2" s="423"/>
      <c r="E2" s="423"/>
      <c r="F2" s="423"/>
      <c r="G2" s="424"/>
    </row>
    <row r="3" spans="1:7" ht="12.75">
      <c r="A3" s="433" t="s">
        <v>504</v>
      </c>
      <c r="B3" s="276"/>
      <c r="C3" s="96">
        <f>'Logement (1)'!D3</f>
        <v>0</v>
      </c>
      <c r="D3" s="54" t="s">
        <v>4</v>
      </c>
      <c r="E3" s="343"/>
      <c r="F3" s="461"/>
      <c r="G3" s="344"/>
    </row>
    <row r="4" spans="1:7" ht="12.75">
      <c r="A4" s="433" t="s">
        <v>6</v>
      </c>
      <c r="B4" s="276"/>
      <c r="C4" s="96">
        <f>'Logement (1)'!D10</f>
        <v>0</v>
      </c>
      <c r="D4" s="54" t="s">
        <v>4</v>
      </c>
      <c r="E4" s="345"/>
      <c r="F4" s="462"/>
      <c r="G4" s="346"/>
    </row>
    <row r="5" spans="1:7" ht="12.75">
      <c r="A5" s="308"/>
      <c r="B5" s="350"/>
      <c r="C5" s="350"/>
      <c r="D5" s="350"/>
      <c r="E5" s="350"/>
      <c r="F5" s="350"/>
      <c r="G5" s="316"/>
    </row>
    <row r="6" spans="1:7" ht="12.75">
      <c r="A6" s="433" t="s">
        <v>202</v>
      </c>
      <c r="B6" s="276"/>
      <c r="C6" s="268">
        <f>'Rendement chauffage (10)'!C9</f>
        <v>0</v>
      </c>
      <c r="D6" s="52" t="s">
        <v>12</v>
      </c>
      <c r="E6" s="52" t="str">
        <f>"("&amp;ROUND(C6/1000,3)&amp;" kW)"</f>
        <v>(0 kW)</v>
      </c>
      <c r="F6" s="343"/>
      <c r="G6" s="344"/>
    </row>
    <row r="7" spans="1:7" ht="12.75">
      <c r="A7" s="308" t="s">
        <v>421</v>
      </c>
      <c r="B7" s="350"/>
      <c r="C7" s="240"/>
      <c r="D7" s="52" t="s">
        <v>12</v>
      </c>
      <c r="E7" s="52" t="str">
        <f>"("&amp;ROUND(C7/1000,3)&amp;" kW)"</f>
        <v>(0 kW)</v>
      </c>
      <c r="F7" s="345"/>
      <c r="G7" s="346"/>
    </row>
    <row r="8" spans="1:7" ht="12.75">
      <c r="A8" s="308" t="s">
        <v>513</v>
      </c>
      <c r="B8" s="350"/>
      <c r="C8" s="240"/>
      <c r="D8" s="52" t="s">
        <v>12</v>
      </c>
      <c r="E8" s="52"/>
      <c r="F8" s="345"/>
      <c r="G8" s="346"/>
    </row>
    <row r="9" spans="1:7" ht="12.75">
      <c r="A9" s="433" t="s">
        <v>422</v>
      </c>
      <c r="B9" s="276"/>
      <c r="C9" s="268">
        <f>'Apports récupérables ECS (4)'!C25</f>
        <v>0</v>
      </c>
      <c r="D9" s="52" t="s">
        <v>12</v>
      </c>
      <c r="E9" s="52" t="str">
        <f>"("&amp;ROUND(C9/1000,3)&amp;" kW)"</f>
        <v>(0 kW)</v>
      </c>
      <c r="F9" s="345"/>
      <c r="G9" s="346"/>
    </row>
    <row r="10" spans="1:7" ht="12.75">
      <c r="A10" s="433" t="s">
        <v>423</v>
      </c>
      <c r="B10" s="276"/>
      <c r="C10" s="241"/>
      <c r="D10" s="52" t="s">
        <v>12</v>
      </c>
      <c r="E10" s="52" t="str">
        <f>"("&amp;ROUND(C10/1000,3)&amp;" kW)"</f>
        <v>(0 kW)</v>
      </c>
      <c r="F10" s="442"/>
      <c r="G10" s="424"/>
    </row>
    <row r="11" spans="1:7" ht="13.5" thickBot="1">
      <c r="A11" s="425"/>
      <c r="B11" s="415"/>
      <c r="C11" s="415"/>
      <c r="D11" s="415"/>
      <c r="E11" s="415"/>
      <c r="F11" s="415"/>
      <c r="G11" s="426"/>
    </row>
    <row r="12" spans="1:7" ht="13.5" thickBot="1">
      <c r="A12" s="311" t="s">
        <v>148</v>
      </c>
      <c r="B12" s="312"/>
      <c r="C12" s="312"/>
      <c r="D12" s="312"/>
      <c r="E12" s="313"/>
      <c r="F12" s="313"/>
      <c r="G12" s="314"/>
    </row>
    <row r="13" spans="1:7" ht="12.75">
      <c r="A13" s="318" t="s">
        <v>149</v>
      </c>
      <c r="B13" s="318" t="s">
        <v>155</v>
      </c>
      <c r="C13" s="309" t="s">
        <v>150</v>
      </c>
      <c r="D13" s="164" t="s">
        <v>152</v>
      </c>
      <c r="E13" s="172">
        <f>'Logement (1)'!E15</f>
        <v>0</v>
      </c>
      <c r="F13" s="164" t="s">
        <v>8</v>
      </c>
      <c r="G13" s="272"/>
    </row>
    <row r="14" spans="1:7" ht="12.75">
      <c r="A14" s="319"/>
      <c r="B14" s="319"/>
      <c r="C14" s="310"/>
      <c r="D14" s="52" t="s">
        <v>436</v>
      </c>
      <c r="E14" s="88" t="e">
        <f>'Rendement chauffage (10)'!E28</f>
        <v>#N/A</v>
      </c>
      <c r="F14" s="52" t="s">
        <v>114</v>
      </c>
      <c r="G14" s="173" t="e">
        <f>"("&amp;ROUND(E14/1000,3)&amp;" kWh)"</f>
        <v>#N/A</v>
      </c>
    </row>
    <row r="15" spans="1:7" ht="12.75">
      <c r="A15" s="319"/>
      <c r="B15" s="319"/>
      <c r="C15" s="310"/>
      <c r="D15" s="52" t="s">
        <v>426</v>
      </c>
      <c r="E15" s="88" t="e">
        <f>SUM('Rendement ECS (11)'!D25:D27)</f>
        <v>#N/A</v>
      </c>
      <c r="F15" s="52" t="s">
        <v>114</v>
      </c>
      <c r="G15" s="173" t="e">
        <f>"("&amp;ROUND(E15/1000,3)&amp;" kWh)"</f>
        <v>#N/A</v>
      </c>
    </row>
    <row r="16" spans="1:7" ht="12.75">
      <c r="A16" s="319"/>
      <c r="B16" s="319"/>
      <c r="C16" s="310"/>
      <c r="D16" s="52" t="s">
        <v>424</v>
      </c>
      <c r="E16" s="88" t="e">
        <f>$C$7*E13+($C$8*(E15/$C$6))</f>
        <v>#N/A</v>
      </c>
      <c r="F16" s="52" t="s">
        <v>114</v>
      </c>
      <c r="G16" s="173" t="e">
        <f>"("&amp;ROUND(E16/1000,3)&amp;" kWh)"</f>
        <v>#N/A</v>
      </c>
    </row>
    <row r="17" spans="1:7" ht="12.75">
      <c r="A17" s="319"/>
      <c r="B17" s="319"/>
      <c r="C17" s="310"/>
      <c r="D17" s="74" t="s">
        <v>425</v>
      </c>
      <c r="E17" s="88">
        <f>$C$9*E13</f>
        <v>0</v>
      </c>
      <c r="F17" s="52" t="s">
        <v>114</v>
      </c>
      <c r="G17" s="173" t="str">
        <f>"("&amp;ROUND(E17/1000,3)&amp;" kWh)"</f>
        <v>(0 kWh)</v>
      </c>
    </row>
    <row r="18" spans="1:7" ht="13.5" thickBot="1">
      <c r="A18" s="319"/>
      <c r="B18" s="319"/>
      <c r="C18" s="304"/>
      <c r="D18" s="238" t="s">
        <v>427</v>
      </c>
      <c r="E18" s="338" t="e">
        <f>($C$10*(E14/$C$6)*E13)+($C$10*(E15/$C$6))</f>
        <v>#N/A</v>
      </c>
      <c r="F18" s="63" t="s">
        <v>114</v>
      </c>
      <c r="G18" s="224" t="e">
        <f>"("&amp;ROUND(E18/1000,3)&amp;" kWh)"</f>
        <v>#N/A</v>
      </c>
    </row>
    <row r="19" spans="1:7" ht="12.75">
      <c r="A19" s="319"/>
      <c r="B19" s="319"/>
      <c r="C19" s="309" t="s">
        <v>154</v>
      </c>
      <c r="D19" s="164" t="s">
        <v>152</v>
      </c>
      <c r="E19" s="172">
        <f>24-E13</f>
        <v>24</v>
      </c>
      <c r="F19" s="164" t="s">
        <v>8</v>
      </c>
      <c r="G19" s="272"/>
    </row>
    <row r="20" spans="1:7" ht="12.75">
      <c r="A20" s="319"/>
      <c r="B20" s="319"/>
      <c r="C20" s="310"/>
      <c r="D20" s="52" t="s">
        <v>436</v>
      </c>
      <c r="E20" s="88" t="e">
        <f>'Rendement chauffage (10)'!E44</f>
        <v>#N/A</v>
      </c>
      <c r="F20" s="52" t="s">
        <v>114</v>
      </c>
      <c r="G20" s="173" t="e">
        <f aca="true" t="shared" si="0" ref="G20:G25">"("&amp;ROUND(E20/1000,3)&amp;" kWh)"</f>
        <v>#N/A</v>
      </c>
    </row>
    <row r="21" spans="1:7" ht="12.75">
      <c r="A21" s="319"/>
      <c r="B21" s="319"/>
      <c r="C21" s="310"/>
      <c r="D21" s="52" t="s">
        <v>424</v>
      </c>
      <c r="E21" s="88">
        <f>$C$7*E19</f>
        <v>0</v>
      </c>
      <c r="F21" s="52" t="s">
        <v>114</v>
      </c>
      <c r="G21" s="173" t="str">
        <f t="shared" si="0"/>
        <v>(0 kWh)</v>
      </c>
    </row>
    <row r="22" spans="1:7" ht="13.5" thickBot="1">
      <c r="A22" s="319"/>
      <c r="B22" s="277"/>
      <c r="C22" s="304"/>
      <c r="D22" s="238" t="s">
        <v>427</v>
      </c>
      <c r="E22" s="338" t="e">
        <f>($C$10*(E20/$C$6)*E19)</f>
        <v>#N/A</v>
      </c>
      <c r="F22" s="63" t="s">
        <v>114</v>
      </c>
      <c r="G22" s="224" t="e">
        <f t="shared" si="0"/>
        <v>#N/A</v>
      </c>
    </row>
    <row r="23" spans="1:7" ht="12.75">
      <c r="A23" s="310"/>
      <c r="B23" s="361" t="s">
        <v>428</v>
      </c>
      <c r="C23" s="361"/>
      <c r="D23" s="361"/>
      <c r="E23" s="216" t="e">
        <f>E16+E21</f>
        <v>#N/A</v>
      </c>
      <c r="F23" s="176" t="s">
        <v>114</v>
      </c>
      <c r="G23" s="177" t="e">
        <f t="shared" si="0"/>
        <v>#N/A</v>
      </c>
    </row>
    <row r="24" spans="1:7" ht="12.75">
      <c r="A24" s="310"/>
      <c r="B24" s="350" t="s">
        <v>429</v>
      </c>
      <c r="C24" s="350"/>
      <c r="D24" s="350"/>
      <c r="E24" s="58">
        <f>E17</f>
        <v>0</v>
      </c>
      <c r="F24" s="57" t="s">
        <v>114</v>
      </c>
      <c r="G24" s="59" t="str">
        <f t="shared" si="0"/>
        <v>(0 kWh)</v>
      </c>
    </row>
    <row r="25" spans="1:7" ht="13.5" thickBot="1">
      <c r="A25" s="304"/>
      <c r="B25" s="342" t="s">
        <v>433</v>
      </c>
      <c r="C25" s="342"/>
      <c r="D25" s="342"/>
      <c r="E25" s="76" t="e">
        <f>E18+E22</f>
        <v>#N/A</v>
      </c>
      <c r="F25" s="174" t="s">
        <v>114</v>
      </c>
      <c r="G25" s="175" t="e">
        <f t="shared" si="0"/>
        <v>#N/A</v>
      </c>
    </row>
    <row r="26" spans="1:7" s="17" customFormat="1" ht="12.75">
      <c r="A26" s="318" t="s">
        <v>156</v>
      </c>
      <c r="B26" s="318" t="s">
        <v>155</v>
      </c>
      <c r="C26" s="309" t="s">
        <v>150</v>
      </c>
      <c r="D26" s="164" t="s">
        <v>152</v>
      </c>
      <c r="E26" s="172">
        <f>'Logement (1)'!E19</f>
        <v>0</v>
      </c>
      <c r="F26" s="164" t="s">
        <v>8</v>
      </c>
      <c r="G26" s="272"/>
    </row>
    <row r="27" spans="1:7" s="17" customFormat="1" ht="12.75">
      <c r="A27" s="319"/>
      <c r="B27" s="319"/>
      <c r="C27" s="310"/>
      <c r="D27" s="52" t="s">
        <v>436</v>
      </c>
      <c r="E27" s="88" t="e">
        <f>'Rendement chauffage (10)'!E64</f>
        <v>#N/A</v>
      </c>
      <c r="F27" s="52" t="s">
        <v>114</v>
      </c>
      <c r="G27" s="173" t="e">
        <f>"("&amp;ROUND(E27/1000,3)&amp;" kWh)"</f>
        <v>#N/A</v>
      </c>
    </row>
    <row r="28" spans="1:7" s="17" customFormat="1" ht="12.75">
      <c r="A28" s="319"/>
      <c r="B28" s="319"/>
      <c r="C28" s="310"/>
      <c r="D28" s="52" t="s">
        <v>426</v>
      </c>
      <c r="E28" s="88" t="e">
        <f>SUM('Rendement ECS (11)'!D39:D41)</f>
        <v>#N/A</v>
      </c>
      <c r="F28" s="52" t="s">
        <v>114</v>
      </c>
      <c r="G28" s="173" t="e">
        <f>"("&amp;ROUND(E28/1000,3)&amp;" kWh)"</f>
        <v>#N/A</v>
      </c>
    </row>
    <row r="29" spans="1:7" s="17" customFormat="1" ht="12.75">
      <c r="A29" s="319"/>
      <c r="B29" s="319"/>
      <c r="C29" s="310"/>
      <c r="D29" s="52" t="s">
        <v>424</v>
      </c>
      <c r="E29" s="88" t="e">
        <f>$C$7*E26+($C$8*(E28/$C$6))</f>
        <v>#N/A</v>
      </c>
      <c r="F29" s="52" t="s">
        <v>114</v>
      </c>
      <c r="G29" s="173" t="e">
        <f>"("&amp;ROUND(E29/1000,3)&amp;" kWh)"</f>
        <v>#N/A</v>
      </c>
    </row>
    <row r="30" spans="1:7" s="17" customFormat="1" ht="12.75">
      <c r="A30" s="319"/>
      <c r="B30" s="319"/>
      <c r="C30" s="310"/>
      <c r="D30" s="74" t="s">
        <v>425</v>
      </c>
      <c r="E30" s="88">
        <f>$C$9*E26</f>
        <v>0</v>
      </c>
      <c r="F30" s="52" t="s">
        <v>114</v>
      </c>
      <c r="G30" s="173" t="str">
        <f>"("&amp;ROUND(E30/1000,3)&amp;" kWh)"</f>
        <v>(0 kWh)</v>
      </c>
    </row>
    <row r="31" spans="1:7" s="17" customFormat="1" ht="13.5" thickBot="1">
      <c r="A31" s="319"/>
      <c r="B31" s="319"/>
      <c r="C31" s="304"/>
      <c r="D31" s="238" t="s">
        <v>427</v>
      </c>
      <c r="E31" s="338" t="e">
        <f>($C$10*(E27/$C$6)*E26)+($C$10*(E28/$C$6))</f>
        <v>#N/A</v>
      </c>
      <c r="F31" s="63" t="s">
        <v>114</v>
      </c>
      <c r="G31" s="224" t="e">
        <f>"("&amp;ROUND(E31/1000,3)&amp;" kWh)"</f>
        <v>#N/A</v>
      </c>
    </row>
    <row r="32" spans="1:7" s="17" customFormat="1" ht="12.75">
      <c r="A32" s="319"/>
      <c r="B32" s="319"/>
      <c r="C32" s="309" t="s">
        <v>154</v>
      </c>
      <c r="D32" s="164" t="s">
        <v>152</v>
      </c>
      <c r="E32" s="172">
        <f>24-E26</f>
        <v>24</v>
      </c>
      <c r="F32" s="164" t="s">
        <v>8</v>
      </c>
      <c r="G32" s="272"/>
    </row>
    <row r="33" spans="1:7" s="17" customFormat="1" ht="12.75">
      <c r="A33" s="319"/>
      <c r="B33" s="319"/>
      <c r="C33" s="310"/>
      <c r="D33" s="52" t="s">
        <v>436</v>
      </c>
      <c r="E33" s="88" t="e">
        <f>'Rendement chauffage (10)'!E80</f>
        <v>#N/A</v>
      </c>
      <c r="F33" s="52" t="s">
        <v>114</v>
      </c>
      <c r="G33" s="173" t="e">
        <f aca="true" t="shared" si="1" ref="G33:G38">"("&amp;ROUND(E33/1000,3)&amp;" kWh)"</f>
        <v>#N/A</v>
      </c>
    </row>
    <row r="34" spans="1:7" s="17" customFormat="1" ht="12.75">
      <c r="A34" s="319"/>
      <c r="B34" s="319"/>
      <c r="C34" s="310"/>
      <c r="D34" s="52" t="s">
        <v>424</v>
      </c>
      <c r="E34" s="88">
        <f>$C$7*E32</f>
        <v>0</v>
      </c>
      <c r="F34" s="52" t="s">
        <v>114</v>
      </c>
      <c r="G34" s="173" t="str">
        <f t="shared" si="1"/>
        <v>(0 kWh)</v>
      </c>
    </row>
    <row r="35" spans="1:7" s="17" customFormat="1" ht="13.5" thickBot="1">
      <c r="A35" s="319"/>
      <c r="B35" s="277"/>
      <c r="C35" s="304"/>
      <c r="D35" s="238" t="s">
        <v>427</v>
      </c>
      <c r="E35" s="338" t="e">
        <f>($C$10*(E33/$C$6)*E32)</f>
        <v>#N/A</v>
      </c>
      <c r="F35" s="63" t="s">
        <v>114</v>
      </c>
      <c r="G35" s="224" t="e">
        <f t="shared" si="1"/>
        <v>#N/A</v>
      </c>
    </row>
    <row r="36" spans="1:7" s="17" customFormat="1" ht="12.75">
      <c r="A36" s="310"/>
      <c r="B36" s="361" t="s">
        <v>428</v>
      </c>
      <c r="C36" s="361"/>
      <c r="D36" s="361"/>
      <c r="E36" s="216" t="e">
        <f>E29+E34</f>
        <v>#N/A</v>
      </c>
      <c r="F36" s="176" t="s">
        <v>114</v>
      </c>
      <c r="G36" s="177" t="e">
        <f t="shared" si="1"/>
        <v>#N/A</v>
      </c>
    </row>
    <row r="37" spans="1:7" s="17" customFormat="1" ht="12.75">
      <c r="A37" s="310"/>
      <c r="B37" s="350" t="s">
        <v>429</v>
      </c>
      <c r="C37" s="350"/>
      <c r="D37" s="350"/>
      <c r="E37" s="58">
        <f>E30</f>
        <v>0</v>
      </c>
      <c r="F37" s="57" t="s">
        <v>114</v>
      </c>
      <c r="G37" s="59" t="str">
        <f t="shared" si="1"/>
        <v>(0 kWh)</v>
      </c>
    </row>
    <row r="38" spans="1:7" s="17" customFormat="1" ht="13.5" thickBot="1">
      <c r="A38" s="304"/>
      <c r="B38" s="342" t="s">
        <v>433</v>
      </c>
      <c r="C38" s="342"/>
      <c r="D38" s="342"/>
      <c r="E38" s="76" t="e">
        <f>E31+E35</f>
        <v>#N/A</v>
      </c>
      <c r="F38" s="174" t="s">
        <v>114</v>
      </c>
      <c r="G38" s="175" t="e">
        <f t="shared" si="1"/>
        <v>#N/A</v>
      </c>
    </row>
    <row r="39" spans="1:7" s="17" customFormat="1" ht="12.75">
      <c r="A39" s="318" t="s">
        <v>157</v>
      </c>
      <c r="B39" s="318" t="s">
        <v>155</v>
      </c>
      <c r="C39" s="309" t="s">
        <v>150</v>
      </c>
      <c r="D39" s="164" t="s">
        <v>152</v>
      </c>
      <c r="E39" s="172">
        <f>'Logement (1)'!E23</f>
        <v>0</v>
      </c>
      <c r="F39" s="164" t="s">
        <v>8</v>
      </c>
      <c r="G39" s="272"/>
    </row>
    <row r="40" spans="1:7" s="17" customFormat="1" ht="12.75">
      <c r="A40" s="319"/>
      <c r="B40" s="319"/>
      <c r="C40" s="310"/>
      <c r="D40" s="52" t="s">
        <v>436</v>
      </c>
      <c r="E40" s="88" t="e">
        <f>'Rendement chauffage (10)'!E100</f>
        <v>#N/A</v>
      </c>
      <c r="F40" s="52" t="s">
        <v>114</v>
      </c>
      <c r="G40" s="173" t="e">
        <f>"("&amp;ROUND(E40/1000,3)&amp;" kWh)"</f>
        <v>#N/A</v>
      </c>
    </row>
    <row r="41" spans="1:7" s="17" customFormat="1" ht="12.75">
      <c r="A41" s="319"/>
      <c r="B41" s="319"/>
      <c r="C41" s="310"/>
      <c r="D41" s="52" t="s">
        <v>426</v>
      </c>
      <c r="E41" s="88" t="e">
        <f>SUM('Rendement ECS (11)'!D53:D55)</f>
        <v>#N/A</v>
      </c>
      <c r="F41" s="52" t="s">
        <v>114</v>
      </c>
      <c r="G41" s="173" t="e">
        <f>"("&amp;ROUND(E41/1000,3)&amp;" kWh)"</f>
        <v>#N/A</v>
      </c>
    </row>
    <row r="42" spans="1:7" s="17" customFormat="1" ht="12.75">
      <c r="A42" s="319"/>
      <c r="B42" s="319"/>
      <c r="C42" s="310"/>
      <c r="D42" s="52" t="s">
        <v>424</v>
      </c>
      <c r="E42" s="88" t="e">
        <f>$C$7*E39+($C$8*(E41/$C$6))</f>
        <v>#N/A</v>
      </c>
      <c r="F42" s="52" t="s">
        <v>114</v>
      </c>
      <c r="G42" s="173" t="e">
        <f>"("&amp;ROUND(E42/1000,3)&amp;" kWh)"</f>
        <v>#N/A</v>
      </c>
    </row>
    <row r="43" spans="1:7" s="17" customFormat="1" ht="12.75">
      <c r="A43" s="319"/>
      <c r="B43" s="319"/>
      <c r="C43" s="310"/>
      <c r="D43" s="74" t="s">
        <v>425</v>
      </c>
      <c r="E43" s="88">
        <f>$C$9*E39</f>
        <v>0</v>
      </c>
      <c r="F43" s="52" t="s">
        <v>114</v>
      </c>
      <c r="G43" s="173" t="str">
        <f>"("&amp;ROUND(E43/1000,3)&amp;" kWh)"</f>
        <v>(0 kWh)</v>
      </c>
    </row>
    <row r="44" spans="1:7" s="17" customFormat="1" ht="13.5" thickBot="1">
      <c r="A44" s="319"/>
      <c r="B44" s="319"/>
      <c r="C44" s="304"/>
      <c r="D44" s="238" t="s">
        <v>427</v>
      </c>
      <c r="E44" s="338" t="e">
        <f>($C$10*(E40/$C$6)*E39)+($C$10*(E41/$C$6))</f>
        <v>#N/A</v>
      </c>
      <c r="F44" s="63" t="s">
        <v>114</v>
      </c>
      <c r="G44" s="224" t="e">
        <f>"("&amp;ROUND(E44/1000,3)&amp;" kWh)"</f>
        <v>#N/A</v>
      </c>
    </row>
    <row r="45" spans="1:7" s="17" customFormat="1" ht="12.75">
      <c r="A45" s="319"/>
      <c r="B45" s="319"/>
      <c r="C45" s="309" t="s">
        <v>154</v>
      </c>
      <c r="D45" s="164" t="s">
        <v>152</v>
      </c>
      <c r="E45" s="172">
        <f>24-E39</f>
        <v>24</v>
      </c>
      <c r="F45" s="164" t="s">
        <v>8</v>
      </c>
      <c r="G45" s="272"/>
    </row>
    <row r="46" spans="1:7" s="17" customFormat="1" ht="12.75">
      <c r="A46" s="319"/>
      <c r="B46" s="319"/>
      <c r="C46" s="310"/>
      <c r="D46" s="52" t="s">
        <v>436</v>
      </c>
      <c r="E46" s="88" t="e">
        <f>'Rendement chauffage (10)'!E116</f>
        <v>#N/A</v>
      </c>
      <c r="F46" s="52" t="s">
        <v>114</v>
      </c>
      <c r="G46" s="173" t="e">
        <f aca="true" t="shared" si="2" ref="G46:G51">"("&amp;ROUND(E46/1000,3)&amp;" kWh)"</f>
        <v>#N/A</v>
      </c>
    </row>
    <row r="47" spans="1:7" s="17" customFormat="1" ht="12.75">
      <c r="A47" s="319"/>
      <c r="B47" s="319"/>
      <c r="C47" s="310"/>
      <c r="D47" s="52" t="s">
        <v>424</v>
      </c>
      <c r="E47" s="88">
        <f>$C$7*E45</f>
        <v>0</v>
      </c>
      <c r="F47" s="52" t="s">
        <v>114</v>
      </c>
      <c r="G47" s="173" t="str">
        <f t="shared" si="2"/>
        <v>(0 kWh)</v>
      </c>
    </row>
    <row r="48" spans="1:7" s="17" customFormat="1" ht="13.5" thickBot="1">
      <c r="A48" s="319"/>
      <c r="B48" s="277"/>
      <c r="C48" s="304"/>
      <c r="D48" s="238" t="s">
        <v>427</v>
      </c>
      <c r="E48" s="338" t="e">
        <f>($C$10*(E46/$C$6)*E45)</f>
        <v>#N/A</v>
      </c>
      <c r="F48" s="63" t="s">
        <v>114</v>
      </c>
      <c r="G48" s="224" t="e">
        <f t="shared" si="2"/>
        <v>#N/A</v>
      </c>
    </row>
    <row r="49" spans="1:7" s="17" customFormat="1" ht="12.75">
      <c r="A49" s="310"/>
      <c r="B49" s="361" t="s">
        <v>428</v>
      </c>
      <c r="C49" s="361"/>
      <c r="D49" s="361"/>
      <c r="E49" s="216" t="e">
        <f>E42+E47</f>
        <v>#N/A</v>
      </c>
      <c r="F49" s="176" t="s">
        <v>114</v>
      </c>
      <c r="G49" s="177" t="e">
        <f t="shared" si="2"/>
        <v>#N/A</v>
      </c>
    </row>
    <row r="50" spans="1:7" s="17" customFormat="1" ht="12.75">
      <c r="A50" s="310"/>
      <c r="B50" s="350" t="s">
        <v>429</v>
      </c>
      <c r="C50" s="350"/>
      <c r="D50" s="350"/>
      <c r="E50" s="58">
        <f>E43</f>
        <v>0</v>
      </c>
      <c r="F50" s="57" t="s">
        <v>114</v>
      </c>
      <c r="G50" s="59" t="str">
        <f t="shared" si="2"/>
        <v>(0 kWh)</v>
      </c>
    </row>
    <row r="51" spans="1:7" s="17" customFormat="1" ht="13.5" thickBot="1">
      <c r="A51" s="304"/>
      <c r="B51" s="342" t="s">
        <v>433</v>
      </c>
      <c r="C51" s="342"/>
      <c r="D51" s="342"/>
      <c r="E51" s="76" t="e">
        <f>E44+E48</f>
        <v>#N/A</v>
      </c>
      <c r="F51" s="174" t="s">
        <v>114</v>
      </c>
      <c r="G51" s="175" t="e">
        <f t="shared" si="2"/>
        <v>#N/A</v>
      </c>
    </row>
    <row r="52" spans="1:7" s="17" customFormat="1" ht="12.75">
      <c r="A52" s="318" t="s">
        <v>158</v>
      </c>
      <c r="B52" s="318" t="s">
        <v>155</v>
      </c>
      <c r="C52" s="309" t="s">
        <v>150</v>
      </c>
      <c r="D52" s="164" t="s">
        <v>152</v>
      </c>
      <c r="E52" s="172">
        <f>'Logement (1)'!E27</f>
        <v>0</v>
      </c>
      <c r="F52" s="164" t="s">
        <v>8</v>
      </c>
      <c r="G52" s="272"/>
    </row>
    <row r="53" spans="1:7" s="17" customFormat="1" ht="12.75">
      <c r="A53" s="319"/>
      <c r="B53" s="319"/>
      <c r="C53" s="310"/>
      <c r="D53" s="52" t="s">
        <v>436</v>
      </c>
      <c r="E53" s="88" t="e">
        <f>'Rendement chauffage (10)'!E136</f>
        <v>#N/A</v>
      </c>
      <c r="F53" s="52" t="s">
        <v>114</v>
      </c>
      <c r="G53" s="173" t="e">
        <f>"("&amp;ROUND(E53/1000,3)&amp;" kWh)"</f>
        <v>#N/A</v>
      </c>
    </row>
    <row r="54" spans="1:7" s="17" customFormat="1" ht="12.75">
      <c r="A54" s="319"/>
      <c r="B54" s="319"/>
      <c r="C54" s="310"/>
      <c r="D54" s="52" t="s">
        <v>426</v>
      </c>
      <c r="E54" s="88" t="e">
        <f>SUM('Rendement ECS (11)'!D67:D69)</f>
        <v>#N/A</v>
      </c>
      <c r="F54" s="52" t="s">
        <v>114</v>
      </c>
      <c r="G54" s="173" t="e">
        <f>"("&amp;ROUND(E54/1000,3)&amp;" kWh)"</f>
        <v>#N/A</v>
      </c>
    </row>
    <row r="55" spans="1:7" s="17" customFormat="1" ht="12.75">
      <c r="A55" s="319"/>
      <c r="B55" s="319"/>
      <c r="C55" s="310"/>
      <c r="D55" s="52" t="s">
        <v>424</v>
      </c>
      <c r="E55" s="88" t="e">
        <f>$C$7*E52+($C$8*(E54/$C$6))</f>
        <v>#N/A</v>
      </c>
      <c r="F55" s="52" t="s">
        <v>114</v>
      </c>
      <c r="G55" s="173" t="e">
        <f>"("&amp;ROUND(E55/1000,3)&amp;" kWh)"</f>
        <v>#N/A</v>
      </c>
    </row>
    <row r="56" spans="1:7" s="17" customFormat="1" ht="12.75">
      <c r="A56" s="319"/>
      <c r="B56" s="319"/>
      <c r="C56" s="310"/>
      <c r="D56" s="74" t="s">
        <v>425</v>
      </c>
      <c r="E56" s="88">
        <f>$C$9*E52</f>
        <v>0</v>
      </c>
      <c r="F56" s="52" t="s">
        <v>114</v>
      </c>
      <c r="G56" s="173" t="str">
        <f>"("&amp;ROUND(E56/1000,3)&amp;" kWh)"</f>
        <v>(0 kWh)</v>
      </c>
    </row>
    <row r="57" spans="1:7" s="17" customFormat="1" ht="13.5" thickBot="1">
      <c r="A57" s="319"/>
      <c r="B57" s="319"/>
      <c r="C57" s="304"/>
      <c r="D57" s="238" t="s">
        <v>427</v>
      </c>
      <c r="E57" s="338" t="e">
        <f>($C$10*(E53/$C$6)*E52)+($C$10*(E54/$C$6))</f>
        <v>#N/A</v>
      </c>
      <c r="F57" s="63" t="s">
        <v>114</v>
      </c>
      <c r="G57" s="224" t="e">
        <f>"("&amp;ROUND(E57/1000,3)&amp;" kWh)"</f>
        <v>#N/A</v>
      </c>
    </row>
    <row r="58" spans="1:7" s="17" customFormat="1" ht="12.75">
      <c r="A58" s="319"/>
      <c r="B58" s="319"/>
      <c r="C58" s="309" t="s">
        <v>154</v>
      </c>
      <c r="D58" s="164" t="s">
        <v>152</v>
      </c>
      <c r="E58" s="172">
        <f>24-E52</f>
        <v>24</v>
      </c>
      <c r="F58" s="164" t="s">
        <v>8</v>
      </c>
      <c r="G58" s="272"/>
    </row>
    <row r="59" spans="1:7" s="17" customFormat="1" ht="12.75">
      <c r="A59" s="319"/>
      <c r="B59" s="319"/>
      <c r="C59" s="310"/>
      <c r="D59" s="52" t="s">
        <v>436</v>
      </c>
      <c r="E59" s="88" t="e">
        <f>'Rendement chauffage (10)'!E152</f>
        <v>#N/A</v>
      </c>
      <c r="F59" s="52" t="s">
        <v>114</v>
      </c>
      <c r="G59" s="173" t="e">
        <f aca="true" t="shared" si="3" ref="G59:G64">"("&amp;ROUND(E59/1000,3)&amp;" kWh)"</f>
        <v>#N/A</v>
      </c>
    </row>
    <row r="60" spans="1:7" s="17" customFormat="1" ht="12.75">
      <c r="A60" s="319"/>
      <c r="B60" s="319"/>
      <c r="C60" s="310"/>
      <c r="D60" s="52" t="s">
        <v>424</v>
      </c>
      <c r="E60" s="88">
        <f>$C$7*E58</f>
        <v>0</v>
      </c>
      <c r="F60" s="52" t="s">
        <v>114</v>
      </c>
      <c r="G60" s="173" t="str">
        <f t="shared" si="3"/>
        <v>(0 kWh)</v>
      </c>
    </row>
    <row r="61" spans="1:7" s="17" customFormat="1" ht="13.5" thickBot="1">
      <c r="A61" s="319"/>
      <c r="B61" s="277"/>
      <c r="C61" s="304"/>
      <c r="D61" s="238" t="s">
        <v>427</v>
      </c>
      <c r="E61" s="338" t="e">
        <f>($C$10*(E59/$C$6)*E58)</f>
        <v>#N/A</v>
      </c>
      <c r="F61" s="63" t="s">
        <v>114</v>
      </c>
      <c r="G61" s="224" t="e">
        <f t="shared" si="3"/>
        <v>#N/A</v>
      </c>
    </row>
    <row r="62" spans="1:7" s="17" customFormat="1" ht="12.75">
      <c r="A62" s="310"/>
      <c r="B62" s="361" t="s">
        <v>428</v>
      </c>
      <c r="C62" s="361"/>
      <c r="D62" s="361"/>
      <c r="E62" s="216" t="e">
        <f>E55+E60</f>
        <v>#N/A</v>
      </c>
      <c r="F62" s="176" t="s">
        <v>114</v>
      </c>
      <c r="G62" s="177" t="e">
        <f t="shared" si="3"/>
        <v>#N/A</v>
      </c>
    </row>
    <row r="63" spans="1:7" s="17" customFormat="1" ht="12.75">
      <c r="A63" s="310"/>
      <c r="B63" s="350" t="s">
        <v>429</v>
      </c>
      <c r="C63" s="350"/>
      <c r="D63" s="350"/>
      <c r="E63" s="58">
        <f>E56</f>
        <v>0</v>
      </c>
      <c r="F63" s="57" t="s">
        <v>114</v>
      </c>
      <c r="G63" s="59" t="str">
        <f t="shared" si="3"/>
        <v>(0 kWh)</v>
      </c>
    </row>
    <row r="64" spans="1:7" s="17" customFormat="1" ht="13.5" thickBot="1">
      <c r="A64" s="304"/>
      <c r="B64" s="342" t="s">
        <v>433</v>
      </c>
      <c r="C64" s="342"/>
      <c r="D64" s="342"/>
      <c r="E64" s="76" t="e">
        <f>E57+E61</f>
        <v>#N/A</v>
      </c>
      <c r="F64" s="174" t="s">
        <v>114</v>
      </c>
      <c r="G64" s="175" t="e">
        <f t="shared" si="3"/>
        <v>#N/A</v>
      </c>
    </row>
    <row r="65" spans="1:7" s="17" customFormat="1" ht="12.75">
      <c r="A65" s="318" t="s">
        <v>159</v>
      </c>
      <c r="B65" s="318" t="s">
        <v>155</v>
      </c>
      <c r="C65" s="309" t="s">
        <v>150</v>
      </c>
      <c r="D65" s="164" t="s">
        <v>152</v>
      </c>
      <c r="E65" s="172">
        <f>'Logement (1)'!E31</f>
        <v>0</v>
      </c>
      <c r="F65" s="164" t="s">
        <v>8</v>
      </c>
      <c r="G65" s="272"/>
    </row>
    <row r="66" spans="1:7" s="17" customFormat="1" ht="12.75">
      <c r="A66" s="319"/>
      <c r="B66" s="319"/>
      <c r="C66" s="310"/>
      <c r="D66" s="52" t="s">
        <v>436</v>
      </c>
      <c r="E66" s="88" t="e">
        <f>'Rendement chauffage (10)'!E172</f>
        <v>#N/A</v>
      </c>
      <c r="F66" s="52" t="s">
        <v>114</v>
      </c>
      <c r="G66" s="173" t="e">
        <f>"("&amp;ROUND(E66/1000,3)&amp;" kWh)"</f>
        <v>#N/A</v>
      </c>
    </row>
    <row r="67" spans="1:7" s="17" customFormat="1" ht="12.75">
      <c r="A67" s="319"/>
      <c r="B67" s="319"/>
      <c r="C67" s="310"/>
      <c r="D67" s="52" t="s">
        <v>426</v>
      </c>
      <c r="E67" s="88" t="e">
        <f>SUM('Rendement ECS (11)'!D81:D83)</f>
        <v>#N/A</v>
      </c>
      <c r="F67" s="52" t="s">
        <v>114</v>
      </c>
      <c r="G67" s="173" t="e">
        <f>"("&amp;ROUND(E67/1000,3)&amp;" kWh)"</f>
        <v>#N/A</v>
      </c>
    </row>
    <row r="68" spans="1:7" s="17" customFormat="1" ht="12.75">
      <c r="A68" s="319"/>
      <c r="B68" s="319"/>
      <c r="C68" s="310"/>
      <c r="D68" s="52" t="s">
        <v>424</v>
      </c>
      <c r="E68" s="88" t="e">
        <f>$C$7*E65+($C$8*(E67/$C$6))</f>
        <v>#N/A</v>
      </c>
      <c r="F68" s="52" t="s">
        <v>114</v>
      </c>
      <c r="G68" s="173" t="e">
        <f>"("&amp;ROUND(E68/1000,3)&amp;" kWh)"</f>
        <v>#N/A</v>
      </c>
    </row>
    <row r="69" spans="1:7" s="17" customFormat="1" ht="12.75">
      <c r="A69" s="319"/>
      <c r="B69" s="319"/>
      <c r="C69" s="310"/>
      <c r="D69" s="74" t="s">
        <v>425</v>
      </c>
      <c r="E69" s="88">
        <f>$C$9*E65</f>
        <v>0</v>
      </c>
      <c r="F69" s="52" t="s">
        <v>114</v>
      </c>
      <c r="G69" s="173" t="str">
        <f>"("&amp;ROUND(E69/1000,3)&amp;" kWh)"</f>
        <v>(0 kWh)</v>
      </c>
    </row>
    <row r="70" spans="1:7" s="17" customFormat="1" ht="13.5" thickBot="1">
      <c r="A70" s="319"/>
      <c r="B70" s="319"/>
      <c r="C70" s="304"/>
      <c r="D70" s="238" t="s">
        <v>427</v>
      </c>
      <c r="E70" s="338" t="e">
        <f>($C$10*(E66/$C$6)*E65)+($C$10*(E67/$C$6))</f>
        <v>#N/A</v>
      </c>
      <c r="F70" s="63" t="s">
        <v>114</v>
      </c>
      <c r="G70" s="224" t="e">
        <f>"("&amp;ROUND(E70/1000,3)&amp;" kWh)"</f>
        <v>#N/A</v>
      </c>
    </row>
    <row r="71" spans="1:7" s="17" customFormat="1" ht="12.75">
      <c r="A71" s="319"/>
      <c r="B71" s="319"/>
      <c r="C71" s="309" t="s">
        <v>154</v>
      </c>
      <c r="D71" s="164" t="s">
        <v>152</v>
      </c>
      <c r="E71" s="172">
        <f>24-E65</f>
        <v>24</v>
      </c>
      <c r="F71" s="164" t="s">
        <v>8</v>
      </c>
      <c r="G71" s="272"/>
    </row>
    <row r="72" spans="1:7" s="17" customFormat="1" ht="12.75">
      <c r="A72" s="319"/>
      <c r="B72" s="319"/>
      <c r="C72" s="310"/>
      <c r="D72" s="52" t="s">
        <v>436</v>
      </c>
      <c r="E72" s="88" t="e">
        <f>'Rendement chauffage (10)'!E188</f>
        <v>#N/A</v>
      </c>
      <c r="F72" s="52" t="s">
        <v>114</v>
      </c>
      <c r="G72" s="173" t="e">
        <f aca="true" t="shared" si="4" ref="G72:G77">"("&amp;ROUND(E72/1000,3)&amp;" kWh)"</f>
        <v>#N/A</v>
      </c>
    </row>
    <row r="73" spans="1:7" s="17" customFormat="1" ht="12.75">
      <c r="A73" s="319"/>
      <c r="B73" s="319"/>
      <c r="C73" s="310"/>
      <c r="D73" s="52" t="s">
        <v>424</v>
      </c>
      <c r="E73" s="88">
        <f>$C$7*E71</f>
        <v>0</v>
      </c>
      <c r="F73" s="52" t="s">
        <v>114</v>
      </c>
      <c r="G73" s="173" t="str">
        <f t="shared" si="4"/>
        <v>(0 kWh)</v>
      </c>
    </row>
    <row r="74" spans="1:7" s="17" customFormat="1" ht="13.5" thickBot="1">
      <c r="A74" s="319"/>
      <c r="B74" s="277"/>
      <c r="C74" s="304"/>
      <c r="D74" s="238" t="s">
        <v>427</v>
      </c>
      <c r="E74" s="338" t="e">
        <f>($C$10*(E72/$C$6)*E71)</f>
        <v>#N/A</v>
      </c>
      <c r="F74" s="63" t="s">
        <v>114</v>
      </c>
      <c r="G74" s="224" t="e">
        <f t="shared" si="4"/>
        <v>#N/A</v>
      </c>
    </row>
    <row r="75" spans="1:7" s="17" customFormat="1" ht="12.75">
      <c r="A75" s="310"/>
      <c r="B75" s="361" t="s">
        <v>428</v>
      </c>
      <c r="C75" s="361"/>
      <c r="D75" s="361"/>
      <c r="E75" s="216" t="e">
        <f>E68+E73</f>
        <v>#N/A</v>
      </c>
      <c r="F75" s="176" t="s">
        <v>114</v>
      </c>
      <c r="G75" s="177" t="e">
        <f t="shared" si="4"/>
        <v>#N/A</v>
      </c>
    </row>
    <row r="76" spans="1:7" s="17" customFormat="1" ht="12.75">
      <c r="A76" s="310"/>
      <c r="B76" s="350" t="s">
        <v>429</v>
      </c>
      <c r="C76" s="350"/>
      <c r="D76" s="350"/>
      <c r="E76" s="58">
        <f>E69</f>
        <v>0</v>
      </c>
      <c r="F76" s="57" t="s">
        <v>114</v>
      </c>
      <c r="G76" s="59" t="str">
        <f t="shared" si="4"/>
        <v>(0 kWh)</v>
      </c>
    </row>
    <row r="77" spans="1:7" s="17" customFormat="1" ht="13.5" thickBot="1">
      <c r="A77" s="304"/>
      <c r="B77" s="342" t="s">
        <v>433</v>
      </c>
      <c r="C77" s="342"/>
      <c r="D77" s="342"/>
      <c r="E77" s="76" t="e">
        <f>E70+E74</f>
        <v>#N/A</v>
      </c>
      <c r="F77" s="174" t="s">
        <v>114</v>
      </c>
      <c r="G77" s="175" t="e">
        <f t="shared" si="4"/>
        <v>#N/A</v>
      </c>
    </row>
    <row r="78" spans="1:7" s="17" customFormat="1" ht="12.75">
      <c r="A78" s="318" t="s">
        <v>160</v>
      </c>
      <c r="B78" s="318" t="s">
        <v>155</v>
      </c>
      <c r="C78" s="309" t="s">
        <v>150</v>
      </c>
      <c r="D78" s="164" t="s">
        <v>152</v>
      </c>
      <c r="E78" s="172">
        <f>'Logement (1)'!E35</f>
        <v>0</v>
      </c>
      <c r="F78" s="164" t="s">
        <v>8</v>
      </c>
      <c r="G78" s="272"/>
    </row>
    <row r="79" spans="1:7" s="17" customFormat="1" ht="12.75">
      <c r="A79" s="319"/>
      <c r="B79" s="319"/>
      <c r="C79" s="310"/>
      <c r="D79" s="52" t="s">
        <v>436</v>
      </c>
      <c r="E79" s="88" t="e">
        <f>'Rendement chauffage (10)'!E208</f>
        <v>#N/A</v>
      </c>
      <c r="F79" s="52" t="s">
        <v>114</v>
      </c>
      <c r="G79" s="173" t="e">
        <f>"("&amp;ROUND(E79/1000,3)&amp;" kWh)"</f>
        <v>#N/A</v>
      </c>
    </row>
    <row r="80" spans="1:7" s="17" customFormat="1" ht="12.75">
      <c r="A80" s="319"/>
      <c r="B80" s="319"/>
      <c r="C80" s="310"/>
      <c r="D80" s="52" t="s">
        <v>426</v>
      </c>
      <c r="E80" s="88" t="e">
        <f>SUM('Rendement ECS (11)'!D95:D97)</f>
        <v>#N/A</v>
      </c>
      <c r="F80" s="52" t="s">
        <v>114</v>
      </c>
      <c r="G80" s="173" t="e">
        <f>"("&amp;ROUND(E80/1000,3)&amp;" kWh)"</f>
        <v>#N/A</v>
      </c>
    </row>
    <row r="81" spans="1:7" s="17" customFormat="1" ht="12.75">
      <c r="A81" s="319"/>
      <c r="B81" s="319"/>
      <c r="C81" s="310"/>
      <c r="D81" s="52" t="s">
        <v>424</v>
      </c>
      <c r="E81" s="88" t="e">
        <f>$C$7*E78+($C$8*(E80/$C$6))</f>
        <v>#N/A</v>
      </c>
      <c r="F81" s="52" t="s">
        <v>114</v>
      </c>
      <c r="G81" s="173" t="e">
        <f>"("&amp;ROUND(E81/1000,3)&amp;" kWh)"</f>
        <v>#N/A</v>
      </c>
    </row>
    <row r="82" spans="1:7" s="17" customFormat="1" ht="12.75">
      <c r="A82" s="319"/>
      <c r="B82" s="319"/>
      <c r="C82" s="310"/>
      <c r="D82" s="74" t="s">
        <v>425</v>
      </c>
      <c r="E82" s="88">
        <f>$C$9*E78</f>
        <v>0</v>
      </c>
      <c r="F82" s="52" t="s">
        <v>114</v>
      </c>
      <c r="G82" s="173" t="str">
        <f>"("&amp;ROUND(E82/1000,3)&amp;" kWh)"</f>
        <v>(0 kWh)</v>
      </c>
    </row>
    <row r="83" spans="1:7" s="17" customFormat="1" ht="13.5" thickBot="1">
      <c r="A83" s="319"/>
      <c r="B83" s="319"/>
      <c r="C83" s="304"/>
      <c r="D83" s="238" t="s">
        <v>427</v>
      </c>
      <c r="E83" s="338" t="e">
        <f>($C$10*(E79/$C$6)*E78)+($C$10*(E80/$C$6))</f>
        <v>#N/A</v>
      </c>
      <c r="F83" s="63" t="s">
        <v>114</v>
      </c>
      <c r="G83" s="224" t="e">
        <f>"("&amp;ROUND(E83/1000,3)&amp;" kWh)"</f>
        <v>#N/A</v>
      </c>
    </row>
    <row r="84" spans="1:7" s="17" customFormat="1" ht="12.75">
      <c r="A84" s="319"/>
      <c r="B84" s="319"/>
      <c r="C84" s="309" t="s">
        <v>154</v>
      </c>
      <c r="D84" s="164" t="s">
        <v>152</v>
      </c>
      <c r="E84" s="172">
        <f>24-E78</f>
        <v>24</v>
      </c>
      <c r="F84" s="164" t="s">
        <v>8</v>
      </c>
      <c r="G84" s="272"/>
    </row>
    <row r="85" spans="1:7" s="17" customFormat="1" ht="12.75">
      <c r="A85" s="319"/>
      <c r="B85" s="319"/>
      <c r="C85" s="310"/>
      <c r="D85" s="52" t="s">
        <v>436</v>
      </c>
      <c r="E85" s="88" t="e">
        <f>'Rendement chauffage (10)'!E224</f>
        <v>#N/A</v>
      </c>
      <c r="F85" s="52" t="s">
        <v>114</v>
      </c>
      <c r="G85" s="173" t="e">
        <f aca="true" t="shared" si="5" ref="G85:G90">"("&amp;ROUND(E85/1000,3)&amp;" kWh)"</f>
        <v>#N/A</v>
      </c>
    </row>
    <row r="86" spans="1:7" s="17" customFormat="1" ht="12.75">
      <c r="A86" s="319"/>
      <c r="B86" s="319"/>
      <c r="C86" s="310"/>
      <c r="D86" s="52" t="s">
        <v>424</v>
      </c>
      <c r="E86" s="88">
        <f>$C$7*E84</f>
        <v>0</v>
      </c>
      <c r="F86" s="52" t="s">
        <v>114</v>
      </c>
      <c r="G86" s="173" t="str">
        <f t="shared" si="5"/>
        <v>(0 kWh)</v>
      </c>
    </row>
    <row r="87" spans="1:7" s="17" customFormat="1" ht="13.5" thickBot="1">
      <c r="A87" s="319"/>
      <c r="B87" s="277"/>
      <c r="C87" s="304"/>
      <c r="D87" s="238" t="s">
        <v>427</v>
      </c>
      <c r="E87" s="338" t="e">
        <f>($C$10*(E85/$C$6)*E84)</f>
        <v>#N/A</v>
      </c>
      <c r="F87" s="63" t="s">
        <v>114</v>
      </c>
      <c r="G87" s="224" t="e">
        <f t="shared" si="5"/>
        <v>#N/A</v>
      </c>
    </row>
    <row r="88" spans="1:7" s="17" customFormat="1" ht="12.75">
      <c r="A88" s="310"/>
      <c r="B88" s="361" t="s">
        <v>428</v>
      </c>
      <c r="C88" s="361"/>
      <c r="D88" s="361"/>
      <c r="E88" s="216" t="e">
        <f>E81+E86</f>
        <v>#N/A</v>
      </c>
      <c r="F88" s="176" t="s">
        <v>114</v>
      </c>
      <c r="G88" s="177" t="e">
        <f t="shared" si="5"/>
        <v>#N/A</v>
      </c>
    </row>
    <row r="89" spans="1:7" s="17" customFormat="1" ht="12.75">
      <c r="A89" s="310"/>
      <c r="B89" s="350" t="s">
        <v>429</v>
      </c>
      <c r="C89" s="350"/>
      <c r="D89" s="350"/>
      <c r="E89" s="58">
        <f>E82</f>
        <v>0</v>
      </c>
      <c r="F89" s="57" t="s">
        <v>114</v>
      </c>
      <c r="G89" s="59" t="str">
        <f t="shared" si="5"/>
        <v>(0 kWh)</v>
      </c>
    </row>
    <row r="90" spans="1:7" s="17" customFormat="1" ht="13.5" thickBot="1">
      <c r="A90" s="304"/>
      <c r="B90" s="342" t="s">
        <v>433</v>
      </c>
      <c r="C90" s="342"/>
      <c r="D90" s="342"/>
      <c r="E90" s="76" t="e">
        <f>E83+E87</f>
        <v>#N/A</v>
      </c>
      <c r="F90" s="174" t="s">
        <v>114</v>
      </c>
      <c r="G90" s="175" t="e">
        <f t="shared" si="5"/>
        <v>#N/A</v>
      </c>
    </row>
    <row r="91" spans="1:7" s="17" customFormat="1" ht="12.75">
      <c r="A91" s="318" t="s">
        <v>161</v>
      </c>
      <c r="B91" s="318" t="s">
        <v>155</v>
      </c>
      <c r="C91" s="309" t="s">
        <v>150</v>
      </c>
      <c r="D91" s="164" t="s">
        <v>152</v>
      </c>
      <c r="E91" s="172">
        <f>'Logement (1)'!E39</f>
        <v>0</v>
      </c>
      <c r="F91" s="164" t="s">
        <v>8</v>
      </c>
      <c r="G91" s="272"/>
    </row>
    <row r="92" spans="1:7" s="17" customFormat="1" ht="12.75">
      <c r="A92" s="319"/>
      <c r="B92" s="319"/>
      <c r="C92" s="310"/>
      <c r="D92" s="52" t="s">
        <v>436</v>
      </c>
      <c r="E92" s="88" t="e">
        <f>'Rendement chauffage (10)'!E244</f>
        <v>#N/A</v>
      </c>
      <c r="F92" s="52" t="s">
        <v>114</v>
      </c>
      <c r="G92" s="173" t="e">
        <f>"("&amp;ROUND(E92/1000,3)&amp;" kWh)"</f>
        <v>#N/A</v>
      </c>
    </row>
    <row r="93" spans="1:7" s="17" customFormat="1" ht="12.75">
      <c r="A93" s="319"/>
      <c r="B93" s="319"/>
      <c r="C93" s="310"/>
      <c r="D93" s="52" t="s">
        <v>426</v>
      </c>
      <c r="E93" s="88" t="e">
        <f>SUM('Rendement ECS (11)'!D109:D111)</f>
        <v>#N/A</v>
      </c>
      <c r="F93" s="52" t="s">
        <v>114</v>
      </c>
      <c r="G93" s="173" t="e">
        <f>"("&amp;ROUND(E93/1000,3)&amp;" kWh)"</f>
        <v>#N/A</v>
      </c>
    </row>
    <row r="94" spans="1:7" s="17" customFormat="1" ht="12.75">
      <c r="A94" s="319"/>
      <c r="B94" s="319"/>
      <c r="C94" s="310"/>
      <c r="D94" s="52" t="s">
        <v>424</v>
      </c>
      <c r="E94" s="88" t="e">
        <f>$C$7*E91+($C$8*(E93/$C$6))</f>
        <v>#N/A</v>
      </c>
      <c r="F94" s="52" t="s">
        <v>114</v>
      </c>
      <c r="G94" s="173" t="e">
        <f>"("&amp;ROUND(E94/1000,3)&amp;" kWh)"</f>
        <v>#N/A</v>
      </c>
    </row>
    <row r="95" spans="1:7" s="17" customFormat="1" ht="12.75">
      <c r="A95" s="319"/>
      <c r="B95" s="319"/>
      <c r="C95" s="310"/>
      <c r="D95" s="74" t="s">
        <v>425</v>
      </c>
      <c r="E95" s="88">
        <f>$C$9*E91</f>
        <v>0</v>
      </c>
      <c r="F95" s="52" t="s">
        <v>114</v>
      </c>
      <c r="G95" s="173" t="str">
        <f>"("&amp;ROUND(E95/1000,3)&amp;" kWh)"</f>
        <v>(0 kWh)</v>
      </c>
    </row>
    <row r="96" spans="1:7" s="17" customFormat="1" ht="13.5" thickBot="1">
      <c r="A96" s="319"/>
      <c r="B96" s="319"/>
      <c r="C96" s="304"/>
      <c r="D96" s="238" t="s">
        <v>427</v>
      </c>
      <c r="E96" s="338" t="e">
        <f>($C$10*(E92/$C$6)*E91)+($C$10*(E93/$C$6))</f>
        <v>#N/A</v>
      </c>
      <c r="F96" s="63" t="s">
        <v>114</v>
      </c>
      <c r="G96" s="224" t="e">
        <f>"("&amp;ROUND(E96/1000,3)&amp;" kWh)"</f>
        <v>#N/A</v>
      </c>
    </row>
    <row r="97" spans="1:7" s="17" customFormat="1" ht="12.75">
      <c r="A97" s="319"/>
      <c r="B97" s="319"/>
      <c r="C97" s="309" t="s">
        <v>154</v>
      </c>
      <c r="D97" s="164" t="s">
        <v>152</v>
      </c>
      <c r="E97" s="172">
        <f>24-E91</f>
        <v>24</v>
      </c>
      <c r="F97" s="164" t="s">
        <v>8</v>
      </c>
      <c r="G97" s="272"/>
    </row>
    <row r="98" spans="1:7" s="17" customFormat="1" ht="12.75">
      <c r="A98" s="319"/>
      <c r="B98" s="319"/>
      <c r="C98" s="310"/>
      <c r="D98" s="52" t="s">
        <v>436</v>
      </c>
      <c r="E98" s="88" t="e">
        <f>'Rendement chauffage (10)'!E260</f>
        <v>#N/A</v>
      </c>
      <c r="F98" s="52" t="s">
        <v>114</v>
      </c>
      <c r="G98" s="173" t="e">
        <f aca="true" t="shared" si="6" ref="G98:G103">"("&amp;ROUND(E98/1000,3)&amp;" kWh)"</f>
        <v>#N/A</v>
      </c>
    </row>
    <row r="99" spans="1:7" s="17" customFormat="1" ht="12.75">
      <c r="A99" s="319"/>
      <c r="B99" s="319"/>
      <c r="C99" s="310"/>
      <c r="D99" s="52" t="s">
        <v>424</v>
      </c>
      <c r="E99" s="88">
        <f>$C$7*E97</f>
        <v>0</v>
      </c>
      <c r="F99" s="52" t="s">
        <v>114</v>
      </c>
      <c r="G99" s="173" t="str">
        <f t="shared" si="6"/>
        <v>(0 kWh)</v>
      </c>
    </row>
    <row r="100" spans="1:7" s="17" customFormat="1" ht="13.5" thickBot="1">
      <c r="A100" s="319"/>
      <c r="B100" s="277"/>
      <c r="C100" s="304"/>
      <c r="D100" s="238" t="s">
        <v>427</v>
      </c>
      <c r="E100" s="338" t="e">
        <f>($C$10*(E98/$C$6)*E97)</f>
        <v>#N/A</v>
      </c>
      <c r="F100" s="63" t="s">
        <v>114</v>
      </c>
      <c r="G100" s="224" t="e">
        <f t="shared" si="6"/>
        <v>#N/A</v>
      </c>
    </row>
    <row r="101" spans="1:7" s="17" customFormat="1" ht="12.75">
      <c r="A101" s="310"/>
      <c r="B101" s="361" t="s">
        <v>428</v>
      </c>
      <c r="C101" s="361"/>
      <c r="D101" s="361"/>
      <c r="E101" s="216" t="e">
        <f>E94+E99</f>
        <v>#N/A</v>
      </c>
      <c r="F101" s="176" t="s">
        <v>114</v>
      </c>
      <c r="G101" s="177" t="e">
        <f t="shared" si="6"/>
        <v>#N/A</v>
      </c>
    </row>
    <row r="102" spans="1:7" s="17" customFormat="1" ht="12.75">
      <c r="A102" s="310"/>
      <c r="B102" s="350" t="s">
        <v>429</v>
      </c>
      <c r="C102" s="350"/>
      <c r="D102" s="350"/>
      <c r="E102" s="58">
        <f>E95</f>
        <v>0</v>
      </c>
      <c r="F102" s="57" t="s">
        <v>114</v>
      </c>
      <c r="G102" s="59" t="str">
        <f t="shared" si="6"/>
        <v>(0 kWh)</v>
      </c>
    </row>
    <row r="103" spans="1:7" s="17" customFormat="1" ht="13.5" thickBot="1">
      <c r="A103" s="304"/>
      <c r="B103" s="342" t="s">
        <v>433</v>
      </c>
      <c r="C103" s="342"/>
      <c r="D103" s="342"/>
      <c r="E103" s="76" t="e">
        <f>E96+E100</f>
        <v>#N/A</v>
      </c>
      <c r="F103" s="174" t="s">
        <v>114</v>
      </c>
      <c r="G103" s="175" t="e">
        <f t="shared" si="6"/>
        <v>#N/A</v>
      </c>
    </row>
    <row r="104" spans="1:7" ht="13.5" thickBot="1">
      <c r="A104" s="384"/>
      <c r="B104" s="385"/>
      <c r="C104" s="385"/>
      <c r="D104" s="385"/>
      <c r="E104" s="385"/>
      <c r="F104" s="385"/>
      <c r="G104" s="386"/>
    </row>
    <row r="105" spans="1:7" ht="12.75">
      <c r="A105" s="301" t="s">
        <v>220</v>
      </c>
      <c r="B105" s="302"/>
      <c r="C105" s="302"/>
      <c r="D105" s="302"/>
      <c r="E105" s="302"/>
      <c r="F105" s="302"/>
      <c r="G105" s="303"/>
    </row>
    <row r="106" spans="1:7" ht="12.75">
      <c r="A106" s="308" t="s">
        <v>430</v>
      </c>
      <c r="B106" s="350"/>
      <c r="C106" s="350"/>
      <c r="D106" s="369"/>
      <c r="E106" s="339" t="e">
        <f>E23+E36+E49+E62+E75+E88+E101</f>
        <v>#N/A</v>
      </c>
      <c r="F106" s="57" t="s">
        <v>114</v>
      </c>
      <c r="G106" s="59" t="e">
        <f>"("&amp;ROUND(E106/1000,3)&amp;" kWh)"</f>
        <v>#N/A</v>
      </c>
    </row>
    <row r="107" spans="1:7" ht="12.75">
      <c r="A107" s="308" t="s">
        <v>431</v>
      </c>
      <c r="B107" s="350"/>
      <c r="C107" s="350"/>
      <c r="D107" s="369"/>
      <c r="E107" s="339">
        <f>E24+E37+E50+E63+E76+E89+E102</f>
        <v>0</v>
      </c>
      <c r="F107" s="57" t="s">
        <v>114</v>
      </c>
      <c r="G107" s="59" t="str">
        <f>"("&amp;ROUND(E107/1000,3)&amp;" kWh)"</f>
        <v>(0 kWh)</v>
      </c>
    </row>
    <row r="108" spans="1:7" ht="13.5" thickBot="1">
      <c r="A108" s="341" t="s">
        <v>434</v>
      </c>
      <c r="B108" s="342"/>
      <c r="C108" s="342"/>
      <c r="D108" s="428"/>
      <c r="E108" s="339" t="e">
        <f>E25+E38+E51+E64+E77+E90+E103</f>
        <v>#N/A</v>
      </c>
      <c r="F108" s="174" t="s">
        <v>114</v>
      </c>
      <c r="G108" s="59" t="e">
        <f>"("&amp;ROUND(E108/1000,3)&amp;" kWh)"</f>
        <v>#N/A</v>
      </c>
    </row>
    <row r="109" spans="1:7" ht="13.5" thickBot="1">
      <c r="A109" s="602"/>
      <c r="B109" s="382"/>
      <c r="C109" s="382"/>
      <c r="D109" s="382"/>
      <c r="E109" s="382"/>
      <c r="F109" s="382"/>
      <c r="G109" s="383"/>
    </row>
    <row r="110" spans="1:7" ht="12.75">
      <c r="A110" s="301" t="s">
        <v>165</v>
      </c>
      <c r="B110" s="302"/>
      <c r="C110" s="302"/>
      <c r="D110" s="302"/>
      <c r="E110" s="302"/>
      <c r="F110" s="302"/>
      <c r="G110" s="303"/>
    </row>
    <row r="111" spans="1:7" ht="12.75">
      <c r="A111" s="433" t="s">
        <v>366</v>
      </c>
      <c r="B111" s="275"/>
      <c r="C111" s="334"/>
      <c r="D111" s="322"/>
      <c r="E111" s="74">
        <f>IF('Logement (1)'!$C$49="Oui",'Logement (1)'!$C$51,0)</f>
        <v>0</v>
      </c>
      <c r="F111" s="52" t="s">
        <v>164</v>
      </c>
      <c r="G111" s="279"/>
    </row>
    <row r="112" spans="1:7" ht="12.75">
      <c r="A112" s="433" t="s">
        <v>436</v>
      </c>
      <c r="B112" s="275"/>
      <c r="C112" s="334"/>
      <c r="D112" s="322"/>
      <c r="E112" s="58" t="e">
        <f>'Rendement chauffage (10)'!C287</f>
        <v>#N/A</v>
      </c>
      <c r="F112" s="57" t="s">
        <v>114</v>
      </c>
      <c r="G112" s="59" t="e">
        <f>"("&amp;ROUND(E112/1000,3)&amp;" kWh)"</f>
        <v>#N/A</v>
      </c>
    </row>
    <row r="113" spans="1:7" ht="12.75">
      <c r="A113" s="308" t="s">
        <v>432</v>
      </c>
      <c r="B113" s="350"/>
      <c r="C113" s="350"/>
      <c r="D113" s="369"/>
      <c r="E113" s="58">
        <f>$C$7*24*$E$111</f>
        <v>0</v>
      </c>
      <c r="F113" s="57" t="s">
        <v>114</v>
      </c>
      <c r="G113" s="59" t="str">
        <f>"("&amp;ROUND(E113/1000,3)&amp;" kWh)"</f>
        <v>(0 kWh)</v>
      </c>
    </row>
    <row r="114" spans="1:7" ht="13.5" thickBot="1">
      <c r="A114" s="341" t="s">
        <v>435</v>
      </c>
      <c r="B114" s="342"/>
      <c r="C114" s="342"/>
      <c r="D114" s="428"/>
      <c r="E114" s="76" t="e">
        <f>($C$10*(E112/$C$6)*24*E111)</f>
        <v>#N/A</v>
      </c>
      <c r="F114" s="174" t="s">
        <v>114</v>
      </c>
      <c r="G114" s="175" t="e">
        <f>"("&amp;ROUND(E114/1000,3)&amp;" kWh)"</f>
        <v>#N/A</v>
      </c>
    </row>
    <row r="115" spans="1:7" ht="13.5" thickBot="1">
      <c r="A115" s="598"/>
      <c r="B115" s="599"/>
      <c r="C115" s="599"/>
      <c r="D115" s="599"/>
      <c r="E115" s="599"/>
      <c r="F115" s="599"/>
      <c r="G115" s="441"/>
    </row>
    <row r="116" spans="1:7" ht="12.75">
      <c r="A116" s="301" t="str">
        <f>"Valeurs pour le mois "&amp;IF(OR($C$4="avril",$C$4="août",$C$4="octobre"),"d'","de ")&amp;IF(C4&lt;&gt;0,C4,"")</f>
        <v>Valeurs pour le mois de </v>
      </c>
      <c r="B116" s="302"/>
      <c r="C116" s="302"/>
      <c r="D116" s="302"/>
      <c r="E116" s="302"/>
      <c r="F116" s="302"/>
      <c r="G116" s="303"/>
    </row>
    <row r="117" spans="1:7" ht="12.75">
      <c r="A117" s="603" t="str">
        <f>"Nombre de jours de chauffage pour le mois "&amp;IF(OR($C$4="avril",$C$4="août",$C$4="octobre"),"d'","de ")&amp;IF(C4&lt;&gt;0,C4,"")&amp;" :"</f>
        <v>Nombre de jours de chauffage pour le mois de  :</v>
      </c>
      <c r="B117" s="604"/>
      <c r="C117" s="369"/>
      <c r="D117" s="369"/>
      <c r="E117" s="340">
        <f>'Logement (1)'!C55</f>
        <v>31</v>
      </c>
      <c r="F117" s="340" t="s">
        <v>164</v>
      </c>
      <c r="G117" s="600"/>
    </row>
    <row r="118" spans="1:7" ht="12.75">
      <c r="A118" s="603" t="str">
        <f>"Nombre de jours restants (hors vacances) pour le mois "&amp;IF(OR($C$4="avril",$C$4="août",$C$4="octobre"),"d'","de ")&amp;IF(C4&lt;&gt;0,C4,"")&amp;" :"</f>
        <v>Nombre de jours restants (hors vacances) pour le mois de  :</v>
      </c>
      <c r="B118" s="604"/>
      <c r="C118" s="369"/>
      <c r="D118" s="369"/>
      <c r="E118" s="5">
        <f>'Logement (1)'!C54</f>
        <v>31</v>
      </c>
      <c r="F118" s="340" t="s">
        <v>164</v>
      </c>
      <c r="G118" s="601"/>
    </row>
    <row r="119" spans="1:7" ht="12.75">
      <c r="A119" s="308"/>
      <c r="B119" s="350"/>
      <c r="C119" s="369"/>
      <c r="D119" s="369"/>
      <c r="E119" s="369"/>
      <c r="F119" s="369"/>
      <c r="G119" s="427"/>
    </row>
    <row r="120" spans="1:7" ht="12.75">
      <c r="A120" s="308" t="str">
        <f>"Puissance totale absorbée par le ou les circulateurs de chauffage pour le mois "&amp;IF(OR($C$4="avril",$C$4="août",$C$4="octobre"),"d'","de ")&amp;IF(C4&lt;&gt;0,C4,"")&amp;" :"</f>
        <v>Puissance totale absorbée par le ou les circulateurs de chauffage pour le mois de  :</v>
      </c>
      <c r="B120" s="350"/>
      <c r="C120" s="369"/>
      <c r="D120" s="369"/>
      <c r="E120" s="58" t="e">
        <f>E106*($E$117/7)+E113</f>
        <v>#N/A</v>
      </c>
      <c r="F120" s="57" t="s">
        <v>114</v>
      </c>
      <c r="G120" s="59" t="e">
        <f>"("&amp;ROUND(E120/1000,3)&amp;" kWh)"</f>
        <v>#N/A</v>
      </c>
    </row>
    <row r="121" spans="1:7" ht="12.75">
      <c r="A121" s="308" t="str">
        <f>"Puissance totale absorbée par le circulateur ou le traçage ECS pour le mois "&amp;IF(OR($C$4="avril",$C$4="août",$C$4="octobre"),"d'","de ")&amp;IF(C4&lt;&gt;0,C4,"")&amp;" :"</f>
        <v>Puissance totale absorbée par le circulateur ou le traçage ECS pour le mois de  :</v>
      </c>
      <c r="B121" s="350"/>
      <c r="C121" s="369"/>
      <c r="D121" s="369"/>
      <c r="E121" s="58">
        <f>E107*(E118/7)</f>
        <v>0</v>
      </c>
      <c r="F121" s="57" t="s">
        <v>114</v>
      </c>
      <c r="G121" s="59" t="str">
        <f>"("&amp;ROUND(E121/1000,3)&amp;" kWh)"</f>
        <v>(0 kWh)</v>
      </c>
    </row>
    <row r="122" spans="1:7" ht="12.75">
      <c r="A122" s="308" t="str">
        <f>"Puissance totale absorbée par le brûleur pour le mois "&amp;IF(OR($C$4="avril",$C$4="août",$C$4="octobre"),"d'","de ")&amp;IF(C4&lt;&gt;0,C4,"")&amp;" :"</f>
        <v>Puissance totale absorbée par le brûleur pour le mois de  :</v>
      </c>
      <c r="B122" s="350"/>
      <c r="C122" s="369"/>
      <c r="D122" s="369"/>
      <c r="E122" s="58" t="e">
        <f>E108*(E117/7)+E114</f>
        <v>#N/A</v>
      </c>
      <c r="F122" s="57" t="s">
        <v>114</v>
      </c>
      <c r="G122" s="59" t="e">
        <f>"("&amp;ROUND(E122/1000,3)&amp;" kWh)"</f>
        <v>#N/A</v>
      </c>
    </row>
    <row r="123" spans="1:7" ht="12.75">
      <c r="A123" s="308"/>
      <c r="B123" s="350"/>
      <c r="C123" s="350"/>
      <c r="D123" s="350"/>
      <c r="E123" s="350"/>
      <c r="F123" s="350"/>
      <c r="G123" s="316"/>
    </row>
    <row r="124" spans="1:7" ht="13.5" thickBot="1">
      <c r="A124" s="341" t="str">
        <f>"Puissance électrique totale absorbée pour le mois "&amp;IF(OR($C$4="avril",$C$4="août",$C$4="octobre"),"d'","de ")&amp;IF(C4&lt;&gt;0,C4,"")&amp;" :"</f>
        <v>Puissance électrique totale absorbée pour le mois de  :</v>
      </c>
      <c r="B124" s="342"/>
      <c r="C124" s="428"/>
      <c r="D124" s="428"/>
      <c r="E124" s="65" t="e">
        <f>E120+E121+E122</f>
        <v>#N/A</v>
      </c>
      <c r="F124" s="64" t="s">
        <v>114</v>
      </c>
      <c r="G124" s="66" t="e">
        <f>"("&amp;ROUND(E124/1000,3)&amp;" kWh)"</f>
        <v>#N/A</v>
      </c>
    </row>
  </sheetData>
  <sheetProtection sheet="1" objects="1" scenarios="1" selectLockedCells="1"/>
  <mergeCells count="85">
    <mergeCell ref="A8:B8"/>
    <mergeCell ref="B77:D77"/>
    <mergeCell ref="B90:D90"/>
    <mergeCell ref="A91:A103"/>
    <mergeCell ref="B91:B100"/>
    <mergeCell ref="C91:C96"/>
    <mergeCell ref="C97:C100"/>
    <mergeCell ref="B101:D101"/>
    <mergeCell ref="B102:D102"/>
    <mergeCell ref="B103:D103"/>
    <mergeCell ref="B78:B87"/>
    <mergeCell ref="B64:D64"/>
    <mergeCell ref="C71:C74"/>
    <mergeCell ref="B75:D75"/>
    <mergeCell ref="B76:D76"/>
    <mergeCell ref="B39:B48"/>
    <mergeCell ref="C39:C44"/>
    <mergeCell ref="C26:C31"/>
    <mergeCell ref="B38:D38"/>
    <mergeCell ref="C45:C48"/>
    <mergeCell ref="F6:G10"/>
    <mergeCell ref="B25:D25"/>
    <mergeCell ref="A13:A25"/>
    <mergeCell ref="A10:B10"/>
    <mergeCell ref="A12:G12"/>
    <mergeCell ref="B13:B22"/>
    <mergeCell ref="C13:C18"/>
    <mergeCell ref="C19:C22"/>
    <mergeCell ref="A11:G11"/>
    <mergeCell ref="B23:D23"/>
    <mergeCell ref="A115:G115"/>
    <mergeCell ref="A116:G116"/>
    <mergeCell ref="G117:G118"/>
    <mergeCell ref="A109:G109"/>
    <mergeCell ref="A110:G110"/>
    <mergeCell ref="A111:D111"/>
    <mergeCell ref="A112:D112"/>
    <mergeCell ref="A114:D114"/>
    <mergeCell ref="A117:D117"/>
    <mergeCell ref="A118:D118"/>
    <mergeCell ref="A39:A51"/>
    <mergeCell ref="A52:A64"/>
    <mergeCell ref="B52:B61"/>
    <mergeCell ref="C52:C57"/>
    <mergeCell ref="C58:C61"/>
    <mergeCell ref="B62:D62"/>
    <mergeCell ref="B63:D63"/>
    <mergeCell ref="B49:D49"/>
    <mergeCell ref="B50:D50"/>
    <mergeCell ref="B51:D51"/>
    <mergeCell ref="A107:D107"/>
    <mergeCell ref="A108:D108"/>
    <mergeCell ref="A113:D113"/>
    <mergeCell ref="C78:C83"/>
    <mergeCell ref="C84:C87"/>
    <mergeCell ref="B88:D88"/>
    <mergeCell ref="B89:D89"/>
    <mergeCell ref="A104:G104"/>
    <mergeCell ref="A105:G105"/>
    <mergeCell ref="A106:D106"/>
    <mergeCell ref="A122:D122"/>
    <mergeCell ref="C65:C70"/>
    <mergeCell ref="A123:G123"/>
    <mergeCell ref="A124:D124"/>
    <mergeCell ref="A120:D120"/>
    <mergeCell ref="A65:A77"/>
    <mergeCell ref="B65:B74"/>
    <mergeCell ref="A121:D121"/>
    <mergeCell ref="A119:G119"/>
    <mergeCell ref="A78:A90"/>
    <mergeCell ref="A26:A38"/>
    <mergeCell ref="B26:B35"/>
    <mergeCell ref="C32:C35"/>
    <mergeCell ref="B36:D36"/>
    <mergeCell ref="B37:D37"/>
    <mergeCell ref="B24:D24"/>
    <mergeCell ref="A7:B7"/>
    <mergeCell ref="A9:B9"/>
    <mergeCell ref="A1:G1"/>
    <mergeCell ref="A2:G2"/>
    <mergeCell ref="E3:G4"/>
    <mergeCell ref="A5:G5"/>
    <mergeCell ref="A3:B3"/>
    <mergeCell ref="A4:B4"/>
    <mergeCell ref="A6:B6"/>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Feuil14"/>
  <dimension ref="A1:H295"/>
  <sheetViews>
    <sheetView showGridLines="0" workbookViewId="0" topLeftCell="A1">
      <selection activeCell="H34" sqref="H34"/>
    </sheetView>
  </sheetViews>
  <sheetFormatPr defaultColWidth="11.421875" defaultRowHeight="12.75" outlineLevelRow="1"/>
  <cols>
    <col min="1" max="1" width="47.421875" style="0" customWidth="1"/>
    <col min="2" max="2" width="18.00390625" style="0" customWidth="1"/>
    <col min="3" max="3" width="16.8515625" style="0" customWidth="1"/>
    <col min="4" max="4" width="17.7109375" style="0" customWidth="1"/>
    <col min="5" max="5" width="13.140625" style="0" customWidth="1"/>
    <col min="6" max="6" width="17.7109375" style="0" customWidth="1"/>
    <col min="8" max="8" width="11.57421875" style="0" bestFit="1" customWidth="1"/>
  </cols>
  <sheetData>
    <row r="1" spans="1:6" s="108" customFormat="1" ht="18" customHeight="1" thickBot="1">
      <c r="A1" s="622" t="str">
        <f>"Résultats du bilan thermique pour le mois "&amp;IF(OR($D$6="avril",$D$6="août",$D$6="octobre"),"d'","de ")&amp;IF($D$6&lt;&gt;0,$D$6,"")&amp;" (rappel)"</f>
        <v>Résultats du bilan thermique pour le mois de  (rappel)</v>
      </c>
      <c r="B1" s="623"/>
      <c r="C1" s="623"/>
      <c r="D1" s="623"/>
      <c r="E1" s="623"/>
      <c r="F1" s="624"/>
    </row>
    <row r="2" spans="1:6" s="108" customFormat="1" ht="15" customHeight="1" hidden="1" outlineLevel="1">
      <c r="A2" s="477"/>
      <c r="B2" s="478"/>
      <c r="C2" s="478"/>
      <c r="D2" s="478"/>
      <c r="E2" s="478"/>
      <c r="F2" s="485"/>
    </row>
    <row r="3" spans="1:6" s="108" customFormat="1" ht="15" customHeight="1" hidden="1" outlineLevel="1">
      <c r="A3" s="618" t="s">
        <v>405</v>
      </c>
      <c r="B3" s="619"/>
      <c r="C3" s="619"/>
      <c r="D3" s="619"/>
      <c r="E3" s="619"/>
      <c r="F3" s="625"/>
    </row>
    <row r="4" spans="1:6" s="108" customFormat="1" ht="15" customHeight="1" hidden="1" outlineLevel="1">
      <c r="A4" s="626" t="s">
        <v>504</v>
      </c>
      <c r="B4" s="478"/>
      <c r="C4" s="478"/>
      <c r="D4" s="266">
        <f>'Logement (1)'!D3</f>
        <v>0</v>
      </c>
      <c r="E4" s="267" t="s">
        <v>4</v>
      </c>
      <c r="F4" s="627"/>
    </row>
    <row r="5" spans="1:6" s="108" customFormat="1" ht="15" customHeight="1" hidden="1" outlineLevel="1">
      <c r="A5" s="477" t="s">
        <v>503</v>
      </c>
      <c r="B5" s="478"/>
      <c r="C5" s="478"/>
      <c r="D5" s="103">
        <f>'Logement (1)'!D4</f>
        <v>0</v>
      </c>
      <c r="E5" s="45" t="s">
        <v>4</v>
      </c>
      <c r="F5" s="485"/>
    </row>
    <row r="6" spans="1:6" s="108" customFormat="1" ht="15" customHeight="1" hidden="1" outlineLevel="1">
      <c r="A6" s="477" t="s">
        <v>6</v>
      </c>
      <c r="B6" s="478"/>
      <c r="C6" s="478"/>
      <c r="D6" s="103">
        <f>'Logement (1)'!D10</f>
        <v>0</v>
      </c>
      <c r="E6" s="41" t="s">
        <v>4</v>
      </c>
      <c r="F6" s="485"/>
    </row>
    <row r="7" spans="1:6" s="108" customFormat="1" ht="15" customHeight="1" hidden="1" outlineLevel="1">
      <c r="A7" s="477" t="s">
        <v>3</v>
      </c>
      <c r="B7" s="478"/>
      <c r="C7" s="478"/>
      <c r="D7" s="103">
        <f>'Logement (1)'!D5</f>
        <v>0</v>
      </c>
      <c r="E7" s="43" t="s">
        <v>5</v>
      </c>
      <c r="F7" s="485"/>
    </row>
    <row r="8" spans="1:6" s="108" customFormat="1" ht="15" customHeight="1" hidden="1" outlineLevel="1">
      <c r="A8" s="477" t="s">
        <v>381</v>
      </c>
      <c r="B8" s="478"/>
      <c r="C8" s="478"/>
      <c r="D8" s="103">
        <f>'Logement (1)'!D6</f>
        <v>0</v>
      </c>
      <c r="E8" s="43" t="s">
        <v>24</v>
      </c>
      <c r="F8" s="485"/>
    </row>
    <row r="9" spans="1:6" s="108" customFormat="1" ht="15" customHeight="1" hidden="1" outlineLevel="1">
      <c r="A9" s="477" t="s">
        <v>1</v>
      </c>
      <c r="B9" s="478"/>
      <c r="C9" s="478"/>
      <c r="D9" s="103">
        <f>'Logement (1)'!D7</f>
        <v>0</v>
      </c>
      <c r="E9" s="41" t="s">
        <v>4</v>
      </c>
      <c r="F9" s="485"/>
    </row>
    <row r="10" spans="1:6" s="108" customFormat="1" ht="15" customHeight="1" hidden="1" outlineLevel="1">
      <c r="A10" s="477" t="s">
        <v>397</v>
      </c>
      <c r="B10" s="478"/>
      <c r="C10" s="478"/>
      <c r="D10" s="103">
        <f>'Logement (1)'!D8</f>
        <v>0</v>
      </c>
      <c r="E10" s="41" t="s">
        <v>4</v>
      </c>
      <c r="F10" s="485"/>
    </row>
    <row r="11" spans="1:6" s="108" customFormat="1" ht="15" customHeight="1" hidden="1" outlineLevel="1">
      <c r="A11" s="618" t="s">
        <v>401</v>
      </c>
      <c r="B11" s="619"/>
      <c r="C11" s="619"/>
      <c r="D11" s="620"/>
      <c r="E11" s="620"/>
      <c r="F11" s="621"/>
    </row>
    <row r="12" spans="1:6" s="108" customFormat="1" ht="15" customHeight="1" hidden="1" outlineLevel="1">
      <c r="A12" s="122"/>
      <c r="B12" s="478" t="s">
        <v>408</v>
      </c>
      <c r="C12" s="478"/>
      <c r="D12" s="120"/>
      <c r="E12" s="43" t="s">
        <v>383</v>
      </c>
      <c r="F12" s="485"/>
    </row>
    <row r="13" spans="1:6" s="108" customFormat="1" ht="15" customHeight="1" hidden="1" outlineLevel="1">
      <c r="A13" s="477" t="str">
        <f>"Prix du combustible"&amp;IF(A12&lt;&gt;""," ("&amp;A12&amp;") ","")&amp;IF(OR(A12="Gaz naturel",A12="Gaz propane"),"au m3",IF(A12="Fioul","au litre",""))&amp;" :"</f>
        <v>Prix du combustible :</v>
      </c>
      <c r="B13" s="478"/>
      <c r="C13" s="478"/>
      <c r="D13" s="120"/>
      <c r="E13" s="24" t="s">
        <v>398</v>
      </c>
      <c r="F13" s="485"/>
    </row>
    <row r="14" spans="1:6" s="108" customFormat="1" ht="15" customHeight="1" hidden="1" outlineLevel="1">
      <c r="A14" s="477"/>
      <c r="B14" s="478"/>
      <c r="C14" s="478"/>
      <c r="D14" s="478"/>
      <c r="E14" s="478"/>
      <c r="F14" s="485"/>
    </row>
    <row r="15" spans="1:6" s="108" customFormat="1" ht="15" customHeight="1" hidden="1" outlineLevel="1">
      <c r="A15" s="252"/>
      <c r="B15" s="124" t="s">
        <v>392</v>
      </c>
      <c r="C15" s="124"/>
      <c r="D15" s="124"/>
      <c r="E15" s="124"/>
      <c r="F15" s="138"/>
    </row>
    <row r="16" spans="1:6" s="108" customFormat="1" ht="15" customHeight="1" hidden="1" outlineLevel="1">
      <c r="A16" s="534" t="s">
        <v>385</v>
      </c>
      <c r="B16" s="478"/>
      <c r="C16" s="478"/>
      <c r="D16" s="39">
        <f>'Apports occupants (2)'!B4*'Logement (1)'!C54</f>
        <v>0</v>
      </c>
      <c r="E16" s="46" t="s">
        <v>114</v>
      </c>
      <c r="F16" s="47" t="str">
        <f>"("&amp;ROUND(D16/1000,3)&amp;" kWh)"</f>
        <v>(0 kWh)</v>
      </c>
    </row>
    <row r="17" spans="1:6" s="108" customFormat="1" ht="15" customHeight="1" hidden="1" outlineLevel="1">
      <c r="A17" s="534" t="s">
        <v>384</v>
      </c>
      <c r="B17" s="478"/>
      <c r="C17" s="478"/>
      <c r="D17" s="39">
        <f>'Apports solaires (3)'!E27*'Logement (1)'!C53</f>
        <v>0</v>
      </c>
      <c r="E17" s="46" t="s">
        <v>114</v>
      </c>
      <c r="F17" s="47" t="str">
        <f>"("&amp;ROUND(D17/1000,3)&amp;" kWh)"</f>
        <v>(0 kWh)</v>
      </c>
    </row>
    <row r="18" spans="1:6" s="108" customFormat="1" ht="15" customHeight="1" hidden="1" outlineLevel="1">
      <c r="A18" s="534" t="s">
        <v>386</v>
      </c>
      <c r="B18" s="478"/>
      <c r="C18" s="478"/>
      <c r="D18" s="39">
        <f>'Apports récupérables ECS (4)'!D307</f>
        <v>0</v>
      </c>
      <c r="E18" s="46" t="s">
        <v>114</v>
      </c>
      <c r="F18" s="47" t="str">
        <f>"("&amp;ROUND(D18/1000,3)&amp;" kWh)"</f>
        <v>(0 kWh)</v>
      </c>
    </row>
    <row r="19" spans="1:6" s="108" customFormat="1" ht="15" customHeight="1" hidden="1" outlineLevel="1">
      <c r="A19" s="534" t="s">
        <v>387</v>
      </c>
      <c r="B19" s="478"/>
      <c r="C19" s="478"/>
      <c r="D19" s="39" t="e">
        <f>'Apports récupérables CH (6)'!C223</f>
        <v>#N/A</v>
      </c>
      <c r="E19" s="46" t="s">
        <v>114</v>
      </c>
      <c r="F19" s="47" t="e">
        <f>"("&amp;ROUND(D19/1000,3)&amp;" kWh)"</f>
        <v>#N/A</v>
      </c>
    </row>
    <row r="20" spans="1:6" s="108" customFormat="1" ht="15" customHeight="1" hidden="1" outlineLevel="1">
      <c r="A20" s="252"/>
      <c r="B20" s="125" t="s">
        <v>402</v>
      </c>
      <c r="C20" s="124"/>
      <c r="D20" s="124"/>
      <c r="E20" s="124"/>
      <c r="F20" s="138"/>
    </row>
    <row r="21" spans="1:6" s="108" customFormat="1" ht="15" customHeight="1" hidden="1" outlineLevel="1">
      <c r="A21" s="477" t="s">
        <v>400</v>
      </c>
      <c r="B21" s="478"/>
      <c r="C21" s="478"/>
      <c r="D21" s="39" t="e">
        <f>'Auxiliaires (12)'!E124</f>
        <v>#N/A</v>
      </c>
      <c r="E21" s="46" t="s">
        <v>114</v>
      </c>
      <c r="F21" s="47" t="e">
        <f>"("&amp;ROUND(D21/1000,3)&amp;" kWh)"</f>
        <v>#N/A</v>
      </c>
    </row>
    <row r="22" spans="1:6" s="108" customFormat="1" ht="15" customHeight="1" hidden="1" outlineLevel="1">
      <c r="A22" s="123"/>
      <c r="B22" s="124" t="s">
        <v>403</v>
      </c>
      <c r="C22" s="124"/>
      <c r="D22" s="124"/>
      <c r="E22" s="124"/>
      <c r="F22" s="138"/>
    </row>
    <row r="23" spans="1:6" s="108" customFormat="1" ht="15" customHeight="1" hidden="1" outlineLevel="1">
      <c r="A23" s="477" t="str">
        <f>"Besoins en chauffage pour le mois "&amp;IF(OR($D$6="avril",$D$6="août",$D$6="octobre"),"d'","de ")&amp;IF($D$6&lt;&gt;0,$D$6,"")&amp;" :"</f>
        <v>Besoins en chauffage pour le mois de  :</v>
      </c>
      <c r="B23" s="478"/>
      <c r="C23" s="478"/>
      <c r="D23" s="39" t="e">
        <f>'Besoins en chauffage (8)'!C134</f>
        <v>#N/A</v>
      </c>
      <c r="E23" s="46" t="s">
        <v>114</v>
      </c>
      <c r="F23" s="47" t="e">
        <f>"("&amp;ROUND(D23/1000,3)&amp;" kWh)"</f>
        <v>#N/A</v>
      </c>
    </row>
    <row r="24" spans="1:6" s="108" customFormat="1" ht="15" customHeight="1" hidden="1" outlineLevel="1">
      <c r="A24" s="477" t="str">
        <f>"Besoins en ECS pour le mois "&amp;IF(OR($D$6="avril",$D$6="août",$D$6="octobre"),"d'","de ")&amp;IF($D$6&lt;&gt;0,$D$6,"")&amp;" :"</f>
        <v>Besoins en ECS pour le mois de  :</v>
      </c>
      <c r="B24" s="478"/>
      <c r="C24" s="478"/>
      <c r="D24" s="39" t="e">
        <f>'Besoins en ECS (9)'!C21</f>
        <v>#N/A</v>
      </c>
      <c r="E24" s="46" t="s">
        <v>114</v>
      </c>
      <c r="F24" s="47" t="e">
        <f>"("&amp;ROUND(D24/1000,3)&amp;" kWh)"</f>
        <v>#N/A</v>
      </c>
    </row>
    <row r="25" spans="1:6" s="108" customFormat="1" ht="15" customHeight="1" hidden="1" outlineLevel="1">
      <c r="A25" s="123"/>
      <c r="B25" s="124" t="s">
        <v>393</v>
      </c>
      <c r="C25" s="124"/>
      <c r="D25" s="124"/>
      <c r="E25" s="124"/>
      <c r="F25" s="138"/>
    </row>
    <row r="26" spans="1:6" s="108" customFormat="1" ht="15" customHeight="1" hidden="1" outlineLevel="1">
      <c r="A26" s="477" t="str">
        <f>"Pertes thermiques du système de chauffage pour le mois "&amp;IF(OR($D$6="avril",$D$6="août",$D$6="octobre"),"d'","de ")&amp;IF($D$6&lt;&gt;0,$D$6,"")&amp;" :"</f>
        <v>Pertes thermiques du système de chauffage pour le mois de  :</v>
      </c>
      <c r="B26" s="478"/>
      <c r="C26" s="478"/>
      <c r="D26" s="39" t="e">
        <f>'Rendement chauffage (10)'!C373</f>
        <v>#N/A</v>
      </c>
      <c r="E26" s="46" t="s">
        <v>114</v>
      </c>
      <c r="F26" s="47" t="e">
        <f>"("&amp;ROUND(D26/1000,3)&amp;" kWh)"</f>
        <v>#N/A</v>
      </c>
    </row>
    <row r="27" spans="1:6" s="108" customFormat="1" ht="15" customHeight="1" hidden="1" outlineLevel="1">
      <c r="A27" s="477" t="str">
        <f>"Pertes thermiques du système d'ECS pour le mois "&amp;IF(OR($D$6="avril",$D$6="août",$D$6="octobre"),"d'","de ")&amp;IF($D$6&lt;&gt;0,$D$6,"")&amp;" :"</f>
        <v>Pertes thermiques du système d'ECS pour le mois de  :</v>
      </c>
      <c r="B27" s="478"/>
      <c r="C27" s="478"/>
      <c r="D27" s="39" t="e">
        <f>'Rendement ECS (11)'!C154</f>
        <v>#VALUE!</v>
      </c>
      <c r="E27" s="46" t="s">
        <v>114</v>
      </c>
      <c r="F27" s="47" t="e">
        <f>"("&amp;ROUND(D27/1000,3)&amp;" kWh)"</f>
        <v>#VALUE!</v>
      </c>
    </row>
    <row r="28" spans="1:6" s="108" customFormat="1" ht="15" customHeight="1" hidden="1" outlineLevel="1">
      <c r="A28" s="123"/>
      <c r="B28" s="124" t="s">
        <v>404</v>
      </c>
      <c r="C28" s="124"/>
      <c r="D28" s="124"/>
      <c r="E28" s="124"/>
      <c r="F28" s="138"/>
    </row>
    <row r="29" spans="1:6" s="108" customFormat="1" ht="15" customHeight="1" hidden="1" outlineLevel="1">
      <c r="A29" s="477" t="str">
        <f>"Rendement global du système de chauffage pour le mois "&amp;IF(OR($D$6="avril",$D$6="août",$D$6="octobre"),"d'","de ")&amp;IF($D$6&lt;&gt;0,$D$6,"")&amp;" :"</f>
        <v>Rendement global du système de chauffage pour le mois de  :</v>
      </c>
      <c r="B29" s="478"/>
      <c r="C29" s="478"/>
      <c r="D29" s="39" t="e">
        <f>'Rendement chauffage (10)'!C375</f>
        <v>#N/A</v>
      </c>
      <c r="E29" s="46" t="s">
        <v>203</v>
      </c>
      <c r="F29" s="47" t="e">
        <f>"("&amp;ROUND(D29*100,3)&amp;" %)"</f>
        <v>#N/A</v>
      </c>
    </row>
    <row r="30" spans="1:6" s="108" customFormat="1" ht="15" customHeight="1" hidden="1" outlineLevel="1" thickBot="1">
      <c r="A30" s="475" t="str">
        <f>"Rendement global du système d'ECS pour le mois "&amp;IF(OR($D$6="avril",$D$6="août",$D$6="octobre"),"d'","de ")&amp;IF($D$6&lt;&gt;0,$D$6,"")&amp;" :"</f>
        <v>Rendement global du système d'ECS pour le mois de  :</v>
      </c>
      <c r="B30" s="476"/>
      <c r="C30" s="476"/>
      <c r="D30" s="36" t="e">
        <f>'Rendement ECS (11)'!C155</f>
        <v>#N/A</v>
      </c>
      <c r="E30" s="48" t="s">
        <v>203</v>
      </c>
      <c r="F30" s="49" t="e">
        <f>"("&amp;ROUND(D30*100,3)&amp;" %)"</f>
        <v>#N/A</v>
      </c>
    </row>
    <row r="31" spans="1:6" s="108" customFormat="1" ht="15" customHeight="1" collapsed="1">
      <c r="A31" s="518"/>
      <c r="B31" s="519"/>
      <c r="C31" s="519"/>
      <c r="D31" s="519"/>
      <c r="E31" s="519"/>
      <c r="F31" s="624"/>
    </row>
    <row r="32" spans="1:6" s="108" customFormat="1" ht="15" customHeight="1">
      <c r="A32" s="628"/>
      <c r="B32" s="629"/>
      <c r="C32" s="629"/>
      <c r="D32" s="629"/>
      <c r="E32" s="629"/>
      <c r="F32" s="630"/>
    </row>
    <row r="33" spans="1:6" s="108" customFormat="1" ht="15" customHeight="1">
      <c r="A33" s="631"/>
      <c r="B33" s="632"/>
      <c r="C33" s="632"/>
      <c r="D33" s="632"/>
      <c r="E33" s="632"/>
      <c r="F33" s="633"/>
    </row>
    <row r="34" spans="1:6" s="108" customFormat="1" ht="15" customHeight="1" thickBot="1">
      <c r="A34" s="489"/>
      <c r="B34" s="611"/>
      <c r="C34" s="611"/>
      <c r="D34" s="611"/>
      <c r="E34" s="611"/>
      <c r="F34" s="612"/>
    </row>
    <row r="35" spans="1:6" s="108" customFormat="1" ht="18" customHeight="1">
      <c r="A35" s="622" t="s">
        <v>406</v>
      </c>
      <c r="B35" s="623"/>
      <c r="C35" s="623"/>
      <c r="D35" s="623"/>
      <c r="E35" s="623"/>
      <c r="F35" s="624"/>
    </row>
    <row r="36" spans="1:6" s="108" customFormat="1" ht="15" customHeight="1" hidden="1" outlineLevel="1">
      <c r="A36" s="534"/>
      <c r="B36" s="478"/>
      <c r="C36" s="478"/>
      <c r="D36" s="478"/>
      <c r="E36" s="478"/>
      <c r="F36" s="485"/>
    </row>
    <row r="37" spans="1:6" s="108" customFormat="1" ht="15" customHeight="1" hidden="1" outlineLevel="1">
      <c r="A37" s="139" t="s">
        <v>34</v>
      </c>
      <c r="B37" s="140"/>
      <c r="C37" s="141"/>
      <c r="D37" s="141"/>
      <c r="E37" s="141"/>
      <c r="F37" s="142"/>
    </row>
    <row r="38" spans="1:6" s="108" customFormat="1" ht="15" customHeight="1" hidden="1" outlineLevel="1">
      <c r="A38" s="486"/>
      <c r="B38" s="487"/>
      <c r="C38" s="487"/>
      <c r="D38" s="487"/>
      <c r="E38" s="487"/>
      <c r="F38" s="488"/>
    </row>
    <row r="39" spans="1:6" s="108" customFormat="1" ht="15" customHeight="1" hidden="1" outlineLevel="1">
      <c r="A39" s="143" t="s">
        <v>392</v>
      </c>
      <c r="B39" s="144"/>
      <c r="C39" s="24"/>
      <c r="D39" s="24"/>
      <c r="E39" s="613"/>
      <c r="F39" s="492"/>
    </row>
    <row r="40" spans="1:6" s="108" customFormat="1" ht="15" customHeight="1" hidden="1" outlineLevel="1">
      <c r="A40" s="119" t="s">
        <v>385</v>
      </c>
      <c r="B40" s="126"/>
      <c r="C40" s="145" t="s">
        <v>114</v>
      </c>
      <c r="D40" s="93" t="str">
        <f>"("&amp;ROUND(B40/1000,3)&amp;" kWh)"</f>
        <v>(0 kWh)</v>
      </c>
      <c r="E40" s="493"/>
      <c r="F40" s="494"/>
    </row>
    <row r="41" spans="1:6" s="108" customFormat="1" ht="15" customHeight="1" hidden="1" outlineLevel="1">
      <c r="A41" s="119" t="s">
        <v>384</v>
      </c>
      <c r="B41" s="126"/>
      <c r="C41" s="145" t="s">
        <v>114</v>
      </c>
      <c r="D41" s="93" t="str">
        <f>"("&amp;ROUND(B41/1000,3)&amp;" kWh)"</f>
        <v>(0 kWh)</v>
      </c>
      <c r="E41" s="493"/>
      <c r="F41" s="494"/>
    </row>
    <row r="42" spans="1:6" s="108" customFormat="1" ht="15" customHeight="1" hidden="1" outlineLevel="1">
      <c r="A42" s="119" t="s">
        <v>386</v>
      </c>
      <c r="B42" s="126"/>
      <c r="C42" s="145" t="s">
        <v>114</v>
      </c>
      <c r="D42" s="93" t="str">
        <f>"("&amp;ROUND(B42/1000,3)&amp;" kWh)"</f>
        <v>(0 kWh)</v>
      </c>
      <c r="E42" s="493"/>
      <c r="F42" s="494"/>
    </row>
    <row r="43" spans="1:6" s="108" customFormat="1" ht="15" customHeight="1" hidden="1" outlineLevel="1">
      <c r="A43" s="119" t="s">
        <v>387</v>
      </c>
      <c r="B43" s="126"/>
      <c r="C43" s="145" t="s">
        <v>114</v>
      </c>
      <c r="D43" s="93" t="str">
        <f>"("&amp;ROUND(B43/1000,3)&amp;" kWh)"</f>
        <v>(0 kWh)</v>
      </c>
      <c r="E43" s="493"/>
      <c r="F43" s="494"/>
    </row>
    <row r="44" spans="1:6" s="108" customFormat="1" ht="15" customHeight="1" hidden="1" outlineLevel="1">
      <c r="A44" s="121" t="s">
        <v>402</v>
      </c>
      <c r="B44" s="126"/>
      <c r="C44" s="145"/>
      <c r="D44" s="146"/>
      <c r="E44" s="493"/>
      <c r="F44" s="494"/>
    </row>
    <row r="45" spans="1:6" s="108" customFormat="1" ht="15" customHeight="1" hidden="1" outlineLevel="1">
      <c r="A45" s="119" t="s">
        <v>399</v>
      </c>
      <c r="B45" s="126"/>
      <c r="C45" s="145" t="s">
        <v>114</v>
      </c>
      <c r="D45" s="93" t="str">
        <f>"("&amp;ROUND(B45/1000,3)&amp;" kWh)"</f>
        <v>(0 kWh)</v>
      </c>
      <c r="E45" s="493"/>
      <c r="F45" s="494"/>
    </row>
    <row r="46" spans="1:6" s="108" customFormat="1" ht="15" customHeight="1" hidden="1" outlineLevel="1">
      <c r="A46" s="143" t="s">
        <v>403</v>
      </c>
      <c r="B46" s="126"/>
      <c r="C46" s="145"/>
      <c r="D46" s="146"/>
      <c r="E46" s="493"/>
      <c r="F46" s="494"/>
    </row>
    <row r="47" spans="1:6" s="108" customFormat="1" ht="15" customHeight="1" hidden="1" outlineLevel="1">
      <c r="A47" s="119" t="s">
        <v>388</v>
      </c>
      <c r="B47" s="126"/>
      <c r="C47" s="145" t="s">
        <v>114</v>
      </c>
      <c r="D47" s="93" t="str">
        <f>"("&amp;ROUND(B47/1000,3)&amp;" kWh)"</f>
        <v>(0 kWh)</v>
      </c>
      <c r="E47" s="493"/>
      <c r="F47" s="494"/>
    </row>
    <row r="48" spans="1:6" s="108" customFormat="1" ht="15" customHeight="1" hidden="1" outlineLevel="1">
      <c r="A48" s="119" t="s">
        <v>389</v>
      </c>
      <c r="B48" s="126"/>
      <c r="C48" s="145" t="s">
        <v>114</v>
      </c>
      <c r="D48" s="93" t="str">
        <f>"("&amp;ROUND(B48/1000,3)&amp;" kWh)"</f>
        <v>(0 kWh)</v>
      </c>
      <c r="E48" s="493"/>
      <c r="F48" s="494"/>
    </row>
    <row r="49" spans="1:6" s="108" customFormat="1" ht="15" customHeight="1" hidden="1" outlineLevel="1">
      <c r="A49" s="143" t="s">
        <v>393</v>
      </c>
      <c r="B49" s="126"/>
      <c r="C49" s="145"/>
      <c r="D49" s="147"/>
      <c r="E49" s="493"/>
      <c r="F49" s="494"/>
    </row>
    <row r="50" spans="1:6" s="108" customFormat="1" ht="15" customHeight="1" hidden="1" outlineLevel="1">
      <c r="A50" s="119" t="s">
        <v>391</v>
      </c>
      <c r="B50" s="126"/>
      <c r="C50" s="145" t="s">
        <v>114</v>
      </c>
      <c r="D50" s="93" t="str">
        <f>"("&amp;ROUND(B50/1000,3)&amp;" kWh)"</f>
        <v>(0 kWh)</v>
      </c>
      <c r="E50" s="493"/>
      <c r="F50" s="494"/>
    </row>
    <row r="51" spans="1:6" s="108" customFormat="1" ht="15" customHeight="1" hidden="1" outlineLevel="1">
      <c r="A51" s="119" t="s">
        <v>390</v>
      </c>
      <c r="B51" s="126"/>
      <c r="C51" s="145" t="s">
        <v>114</v>
      </c>
      <c r="D51" s="93" t="str">
        <f>"("&amp;ROUND(B51/1000,3)&amp;" kWh)"</f>
        <v>(0 kWh)</v>
      </c>
      <c r="E51" s="493"/>
      <c r="F51" s="494"/>
    </row>
    <row r="52" spans="1:6" s="108" customFormat="1" ht="15" customHeight="1" hidden="1" outlineLevel="1">
      <c r="A52" s="121" t="s">
        <v>394</v>
      </c>
      <c r="B52" s="126"/>
      <c r="C52" s="148"/>
      <c r="D52" s="149"/>
      <c r="E52" s="493"/>
      <c r="F52" s="494"/>
    </row>
    <row r="53" spans="1:6" s="108" customFormat="1" ht="15" customHeight="1" hidden="1" outlineLevel="1">
      <c r="A53" s="119" t="s">
        <v>395</v>
      </c>
      <c r="B53" s="126"/>
      <c r="C53" s="118" t="s">
        <v>203</v>
      </c>
      <c r="D53" s="67" t="str">
        <f>"("&amp;ROUND(B53*100,3)&amp;" %)"</f>
        <v>(0 %)</v>
      </c>
      <c r="E53" s="493"/>
      <c r="F53" s="494"/>
    </row>
    <row r="54" spans="1:6" s="108" customFormat="1" ht="15" customHeight="1" hidden="1" outlineLevel="1">
      <c r="A54" s="119" t="s">
        <v>396</v>
      </c>
      <c r="B54" s="126"/>
      <c r="C54" s="118" t="s">
        <v>203</v>
      </c>
      <c r="D54" s="67" t="str">
        <f>"("&amp;ROUND(B54*100,3)&amp;" %)"</f>
        <v>(0 %)</v>
      </c>
      <c r="E54" s="500"/>
      <c r="F54" s="356"/>
    </row>
    <row r="55" spans="1:6" s="108" customFormat="1" ht="15" customHeight="1" hidden="1" outlineLevel="1" thickBot="1">
      <c r="A55" s="489"/>
      <c r="B55" s="611"/>
      <c r="C55" s="611"/>
      <c r="D55" s="611"/>
      <c r="E55" s="611"/>
      <c r="F55" s="612"/>
    </row>
    <row r="56" spans="1:6" s="108" customFormat="1" ht="15" customHeight="1" hidden="1" outlineLevel="1">
      <c r="A56" s="139" t="s">
        <v>35</v>
      </c>
      <c r="B56" s="140"/>
      <c r="C56" s="141"/>
      <c r="D56" s="141"/>
      <c r="E56" s="141"/>
      <c r="F56" s="142"/>
    </row>
    <row r="57" spans="1:6" s="108" customFormat="1" ht="15" customHeight="1" hidden="1" outlineLevel="1">
      <c r="A57" s="486"/>
      <c r="B57" s="487"/>
      <c r="C57" s="487"/>
      <c r="D57" s="487"/>
      <c r="E57" s="487"/>
      <c r="F57" s="488"/>
    </row>
    <row r="58" spans="1:6" s="108" customFormat="1" ht="15" customHeight="1" hidden="1" outlineLevel="1">
      <c r="A58" s="143" t="s">
        <v>392</v>
      </c>
      <c r="B58" s="144"/>
      <c r="C58" s="24"/>
      <c r="D58" s="24"/>
      <c r="E58" s="613"/>
      <c r="F58" s="492"/>
    </row>
    <row r="59" spans="1:6" s="108" customFormat="1" ht="15" customHeight="1" hidden="1" outlineLevel="1">
      <c r="A59" s="119" t="s">
        <v>385</v>
      </c>
      <c r="B59" s="126"/>
      <c r="C59" s="145" t="s">
        <v>114</v>
      </c>
      <c r="D59" s="93" t="str">
        <f>"("&amp;ROUND(B59/1000,3)&amp;" kWh)"</f>
        <v>(0 kWh)</v>
      </c>
      <c r="E59" s="493"/>
      <c r="F59" s="494"/>
    </row>
    <row r="60" spans="1:6" s="108" customFormat="1" ht="15" customHeight="1" hidden="1" outlineLevel="1">
      <c r="A60" s="119" t="s">
        <v>384</v>
      </c>
      <c r="B60" s="126"/>
      <c r="C60" s="145" t="s">
        <v>114</v>
      </c>
      <c r="D60" s="93" t="str">
        <f>"("&amp;ROUND(B60/1000,3)&amp;" kWh)"</f>
        <v>(0 kWh)</v>
      </c>
      <c r="E60" s="493"/>
      <c r="F60" s="494"/>
    </row>
    <row r="61" spans="1:6" s="108" customFormat="1" ht="15" customHeight="1" hidden="1" outlineLevel="1">
      <c r="A61" s="119" t="s">
        <v>386</v>
      </c>
      <c r="B61" s="126"/>
      <c r="C61" s="145" t="s">
        <v>114</v>
      </c>
      <c r="D61" s="93" t="str">
        <f>"("&amp;ROUND(B61/1000,3)&amp;" kWh)"</f>
        <v>(0 kWh)</v>
      </c>
      <c r="E61" s="493"/>
      <c r="F61" s="494"/>
    </row>
    <row r="62" spans="1:6" s="108" customFormat="1" ht="15" customHeight="1" hidden="1" outlineLevel="1">
      <c r="A62" s="119" t="s">
        <v>387</v>
      </c>
      <c r="B62" s="126"/>
      <c r="C62" s="145" t="s">
        <v>114</v>
      </c>
      <c r="D62" s="93" t="str">
        <f>"("&amp;ROUND(B62/1000,3)&amp;" kWh)"</f>
        <v>(0 kWh)</v>
      </c>
      <c r="E62" s="493"/>
      <c r="F62" s="494"/>
    </row>
    <row r="63" spans="1:6" s="108" customFormat="1" ht="15" customHeight="1" hidden="1" outlineLevel="1">
      <c r="A63" s="121" t="s">
        <v>402</v>
      </c>
      <c r="B63" s="126"/>
      <c r="C63" s="145"/>
      <c r="D63" s="146"/>
      <c r="E63" s="493"/>
      <c r="F63" s="494"/>
    </row>
    <row r="64" spans="1:6" s="108" customFormat="1" ht="15" customHeight="1" hidden="1" outlineLevel="1">
      <c r="A64" s="119" t="s">
        <v>399</v>
      </c>
      <c r="B64" s="126"/>
      <c r="C64" s="145" t="s">
        <v>114</v>
      </c>
      <c r="D64" s="93" t="str">
        <f>"("&amp;ROUND(B64/1000,3)&amp;" kWh)"</f>
        <v>(0 kWh)</v>
      </c>
      <c r="E64" s="493"/>
      <c r="F64" s="494"/>
    </row>
    <row r="65" spans="1:6" s="108" customFormat="1" ht="15" customHeight="1" hidden="1" outlineLevel="1">
      <c r="A65" s="143" t="s">
        <v>403</v>
      </c>
      <c r="B65" s="126"/>
      <c r="C65" s="145"/>
      <c r="D65" s="146"/>
      <c r="E65" s="493"/>
      <c r="F65" s="494"/>
    </row>
    <row r="66" spans="1:6" s="108" customFormat="1" ht="15" customHeight="1" hidden="1" outlineLevel="1">
      <c r="A66" s="119" t="s">
        <v>388</v>
      </c>
      <c r="B66" s="126"/>
      <c r="C66" s="145" t="s">
        <v>114</v>
      </c>
      <c r="D66" s="93" t="str">
        <f>"("&amp;ROUND(B66/1000,3)&amp;" kWh)"</f>
        <v>(0 kWh)</v>
      </c>
      <c r="E66" s="493"/>
      <c r="F66" s="494"/>
    </row>
    <row r="67" spans="1:6" s="108" customFormat="1" ht="15" customHeight="1" hidden="1" outlineLevel="1">
      <c r="A67" s="119" t="s">
        <v>389</v>
      </c>
      <c r="B67" s="126"/>
      <c r="C67" s="145" t="s">
        <v>114</v>
      </c>
      <c r="D67" s="93" t="str">
        <f>"("&amp;ROUND(B67/1000,3)&amp;" kWh)"</f>
        <v>(0 kWh)</v>
      </c>
      <c r="E67" s="493"/>
      <c r="F67" s="494"/>
    </row>
    <row r="68" spans="1:6" s="108" customFormat="1" ht="15" customHeight="1" hidden="1" outlineLevel="1">
      <c r="A68" s="143" t="s">
        <v>393</v>
      </c>
      <c r="B68" s="126"/>
      <c r="C68" s="145"/>
      <c r="D68" s="147"/>
      <c r="E68" s="493"/>
      <c r="F68" s="494"/>
    </row>
    <row r="69" spans="1:6" s="108" customFormat="1" ht="15" customHeight="1" hidden="1" outlineLevel="1">
      <c r="A69" s="119" t="s">
        <v>391</v>
      </c>
      <c r="B69" s="126"/>
      <c r="C69" s="145" t="s">
        <v>114</v>
      </c>
      <c r="D69" s="93" t="str">
        <f>"("&amp;ROUND(B69/1000,3)&amp;" kWh)"</f>
        <v>(0 kWh)</v>
      </c>
      <c r="E69" s="493"/>
      <c r="F69" s="494"/>
    </row>
    <row r="70" spans="1:6" s="108" customFormat="1" ht="15" customHeight="1" hidden="1" outlineLevel="1">
      <c r="A70" s="119" t="s">
        <v>390</v>
      </c>
      <c r="B70" s="126"/>
      <c r="C70" s="145" t="s">
        <v>114</v>
      </c>
      <c r="D70" s="93" t="str">
        <f>"("&amp;ROUND(B70/1000,3)&amp;" kWh)"</f>
        <v>(0 kWh)</v>
      </c>
      <c r="E70" s="493"/>
      <c r="F70" s="494"/>
    </row>
    <row r="71" spans="1:6" s="108" customFormat="1" ht="15" customHeight="1" hidden="1" outlineLevel="1">
      <c r="A71" s="121" t="s">
        <v>394</v>
      </c>
      <c r="B71" s="126"/>
      <c r="C71" s="148"/>
      <c r="D71" s="149"/>
      <c r="E71" s="493"/>
      <c r="F71" s="494"/>
    </row>
    <row r="72" spans="1:6" s="108" customFormat="1" ht="15" customHeight="1" hidden="1" outlineLevel="1">
      <c r="A72" s="119" t="s">
        <v>395</v>
      </c>
      <c r="B72" s="126"/>
      <c r="C72" s="118" t="s">
        <v>203</v>
      </c>
      <c r="D72" s="67" t="str">
        <f>"("&amp;ROUND(B72*100,3)&amp;" %)"</f>
        <v>(0 %)</v>
      </c>
      <c r="E72" s="493"/>
      <c r="F72" s="494"/>
    </row>
    <row r="73" spans="1:6" s="108" customFormat="1" ht="15" customHeight="1" hidden="1" outlineLevel="1">
      <c r="A73" s="119" t="s">
        <v>396</v>
      </c>
      <c r="B73" s="126"/>
      <c r="C73" s="118" t="s">
        <v>203</v>
      </c>
      <c r="D73" s="67" t="str">
        <f>"("&amp;ROUND(B73*100,3)&amp;" %)"</f>
        <v>(0 %)</v>
      </c>
      <c r="E73" s="500"/>
      <c r="F73" s="356"/>
    </row>
    <row r="74" spans="1:6" s="108" customFormat="1" ht="15" customHeight="1" hidden="1" outlineLevel="1" thickBot="1">
      <c r="A74" s="489"/>
      <c r="B74" s="611"/>
      <c r="C74" s="611"/>
      <c r="D74" s="611"/>
      <c r="E74" s="611"/>
      <c r="F74" s="612"/>
    </row>
    <row r="75" spans="1:6" s="108" customFormat="1" ht="15" customHeight="1" hidden="1" outlineLevel="1">
      <c r="A75" s="139" t="s">
        <v>36</v>
      </c>
      <c r="B75" s="140"/>
      <c r="C75" s="141"/>
      <c r="D75" s="141"/>
      <c r="E75" s="141"/>
      <c r="F75" s="142"/>
    </row>
    <row r="76" spans="1:6" s="108" customFormat="1" ht="15" customHeight="1" hidden="1" outlineLevel="1">
      <c r="A76" s="486"/>
      <c r="B76" s="487"/>
      <c r="C76" s="487"/>
      <c r="D76" s="487"/>
      <c r="E76" s="487"/>
      <c r="F76" s="488"/>
    </row>
    <row r="77" spans="1:6" s="108" customFormat="1" ht="15" customHeight="1" hidden="1" outlineLevel="1">
      <c r="A77" s="143" t="s">
        <v>392</v>
      </c>
      <c r="B77" s="144"/>
      <c r="C77" s="24"/>
      <c r="D77" s="24"/>
      <c r="E77" s="613"/>
      <c r="F77" s="492"/>
    </row>
    <row r="78" spans="1:6" s="108" customFormat="1" ht="15" customHeight="1" hidden="1" outlineLevel="1">
      <c r="A78" s="119" t="s">
        <v>385</v>
      </c>
      <c r="B78" s="126"/>
      <c r="C78" s="145" t="s">
        <v>114</v>
      </c>
      <c r="D78" s="93" t="str">
        <f>"("&amp;ROUND(B78/1000,3)&amp;" kWh)"</f>
        <v>(0 kWh)</v>
      </c>
      <c r="E78" s="493"/>
      <c r="F78" s="494"/>
    </row>
    <row r="79" spans="1:6" s="108" customFormat="1" ht="15" customHeight="1" hidden="1" outlineLevel="1">
      <c r="A79" s="119" t="s">
        <v>384</v>
      </c>
      <c r="B79" s="126"/>
      <c r="C79" s="145" t="s">
        <v>114</v>
      </c>
      <c r="D79" s="93" t="str">
        <f>"("&amp;ROUND(B79/1000,3)&amp;" kWh)"</f>
        <v>(0 kWh)</v>
      </c>
      <c r="E79" s="493"/>
      <c r="F79" s="494"/>
    </row>
    <row r="80" spans="1:6" s="108" customFormat="1" ht="15" customHeight="1" hidden="1" outlineLevel="1">
      <c r="A80" s="119" t="s">
        <v>386</v>
      </c>
      <c r="B80" s="126"/>
      <c r="C80" s="145" t="s">
        <v>114</v>
      </c>
      <c r="D80" s="93" t="str">
        <f>"("&amp;ROUND(B80/1000,3)&amp;" kWh)"</f>
        <v>(0 kWh)</v>
      </c>
      <c r="E80" s="493"/>
      <c r="F80" s="494"/>
    </row>
    <row r="81" spans="1:6" s="108" customFormat="1" ht="15" customHeight="1" hidden="1" outlineLevel="1">
      <c r="A81" s="119" t="s">
        <v>387</v>
      </c>
      <c r="B81" s="126"/>
      <c r="C81" s="145" t="s">
        <v>114</v>
      </c>
      <c r="D81" s="93" t="str">
        <f>"("&amp;ROUND(B81/1000,3)&amp;" kWh)"</f>
        <v>(0 kWh)</v>
      </c>
      <c r="E81" s="493"/>
      <c r="F81" s="494"/>
    </row>
    <row r="82" spans="1:6" s="108" customFormat="1" ht="15" customHeight="1" hidden="1" outlineLevel="1">
      <c r="A82" s="121" t="s">
        <v>402</v>
      </c>
      <c r="B82" s="126"/>
      <c r="C82" s="145"/>
      <c r="D82" s="146"/>
      <c r="E82" s="493"/>
      <c r="F82" s="494"/>
    </row>
    <row r="83" spans="1:6" s="108" customFormat="1" ht="15" customHeight="1" hidden="1" outlineLevel="1">
      <c r="A83" s="119" t="s">
        <v>399</v>
      </c>
      <c r="B83" s="126"/>
      <c r="C83" s="145" t="s">
        <v>114</v>
      </c>
      <c r="D83" s="93" t="str">
        <f>"("&amp;ROUND(B83/1000,3)&amp;" kWh)"</f>
        <v>(0 kWh)</v>
      </c>
      <c r="E83" s="493"/>
      <c r="F83" s="494"/>
    </row>
    <row r="84" spans="1:6" s="108" customFormat="1" ht="15" customHeight="1" hidden="1" outlineLevel="1">
      <c r="A84" s="143" t="s">
        <v>403</v>
      </c>
      <c r="B84" s="126"/>
      <c r="C84" s="145"/>
      <c r="D84" s="146"/>
      <c r="E84" s="493"/>
      <c r="F84" s="494"/>
    </row>
    <row r="85" spans="1:6" s="108" customFormat="1" ht="15" customHeight="1" hidden="1" outlineLevel="1">
      <c r="A85" s="119" t="s">
        <v>388</v>
      </c>
      <c r="B85" s="126"/>
      <c r="C85" s="145" t="s">
        <v>114</v>
      </c>
      <c r="D85" s="93" t="str">
        <f>"("&amp;ROUND(B85/1000,3)&amp;" kWh)"</f>
        <v>(0 kWh)</v>
      </c>
      <c r="E85" s="493"/>
      <c r="F85" s="494"/>
    </row>
    <row r="86" spans="1:6" s="108" customFormat="1" ht="15" customHeight="1" hidden="1" outlineLevel="1">
      <c r="A86" s="119" t="s">
        <v>389</v>
      </c>
      <c r="B86" s="126"/>
      <c r="C86" s="145" t="s">
        <v>114</v>
      </c>
      <c r="D86" s="93" t="str">
        <f>"("&amp;ROUND(B86/1000,3)&amp;" kWh)"</f>
        <v>(0 kWh)</v>
      </c>
      <c r="E86" s="493"/>
      <c r="F86" s="494"/>
    </row>
    <row r="87" spans="1:6" s="108" customFormat="1" ht="15" customHeight="1" hidden="1" outlineLevel="1">
      <c r="A87" s="143" t="s">
        <v>393</v>
      </c>
      <c r="B87" s="126"/>
      <c r="C87" s="145"/>
      <c r="D87" s="147"/>
      <c r="E87" s="493"/>
      <c r="F87" s="494"/>
    </row>
    <row r="88" spans="1:6" s="108" customFormat="1" ht="15" customHeight="1" hidden="1" outlineLevel="1">
      <c r="A88" s="119" t="s">
        <v>391</v>
      </c>
      <c r="B88" s="126"/>
      <c r="C88" s="145" t="s">
        <v>114</v>
      </c>
      <c r="D88" s="93" t="str">
        <f>"("&amp;ROUND(B88/1000,3)&amp;" kWh)"</f>
        <v>(0 kWh)</v>
      </c>
      <c r="E88" s="493"/>
      <c r="F88" s="494"/>
    </row>
    <row r="89" spans="1:6" s="108" customFormat="1" ht="15" customHeight="1" hidden="1" outlineLevel="1">
      <c r="A89" s="119" t="s">
        <v>390</v>
      </c>
      <c r="B89" s="126"/>
      <c r="C89" s="145" t="s">
        <v>114</v>
      </c>
      <c r="D89" s="93" t="str">
        <f>"("&amp;ROUND(B89/1000,3)&amp;" kWh)"</f>
        <v>(0 kWh)</v>
      </c>
      <c r="E89" s="493"/>
      <c r="F89" s="494"/>
    </row>
    <row r="90" spans="1:6" s="108" customFormat="1" ht="15" customHeight="1" hidden="1" outlineLevel="1">
      <c r="A90" s="121" t="s">
        <v>394</v>
      </c>
      <c r="B90" s="126"/>
      <c r="C90" s="148"/>
      <c r="D90" s="149"/>
      <c r="E90" s="493"/>
      <c r="F90" s="494"/>
    </row>
    <row r="91" spans="1:6" s="108" customFormat="1" ht="15" customHeight="1" hidden="1" outlineLevel="1">
      <c r="A91" s="119" t="s">
        <v>395</v>
      </c>
      <c r="B91" s="126"/>
      <c r="C91" s="118" t="s">
        <v>203</v>
      </c>
      <c r="D91" s="67" t="str">
        <f>"("&amp;ROUND(B91*100,3)&amp;" %)"</f>
        <v>(0 %)</v>
      </c>
      <c r="E91" s="493"/>
      <c r="F91" s="494"/>
    </row>
    <row r="92" spans="1:6" s="108" customFormat="1" ht="15" customHeight="1" hidden="1" outlineLevel="1">
      <c r="A92" s="119" t="s">
        <v>396</v>
      </c>
      <c r="B92" s="126"/>
      <c r="C92" s="118" t="s">
        <v>203</v>
      </c>
      <c r="D92" s="67" t="str">
        <f>"("&amp;ROUND(B92*100,3)&amp;" %)"</f>
        <v>(0 %)</v>
      </c>
      <c r="E92" s="500"/>
      <c r="F92" s="356"/>
    </row>
    <row r="93" spans="1:6" s="108" customFormat="1" ht="15" customHeight="1" hidden="1" outlineLevel="1" thickBot="1">
      <c r="A93" s="489"/>
      <c r="B93" s="611"/>
      <c r="C93" s="611"/>
      <c r="D93" s="611"/>
      <c r="E93" s="611"/>
      <c r="F93" s="612"/>
    </row>
    <row r="94" spans="1:6" s="108" customFormat="1" ht="15" customHeight="1" hidden="1" outlineLevel="1">
      <c r="A94" s="139" t="s">
        <v>37</v>
      </c>
      <c r="B94" s="140"/>
      <c r="C94" s="141"/>
      <c r="D94" s="141"/>
      <c r="E94" s="141"/>
      <c r="F94" s="142"/>
    </row>
    <row r="95" spans="1:6" s="108" customFormat="1" ht="15" customHeight="1" hidden="1" outlineLevel="1">
      <c r="A95" s="486"/>
      <c r="B95" s="487"/>
      <c r="C95" s="487"/>
      <c r="D95" s="487"/>
      <c r="E95" s="487"/>
      <c r="F95" s="488"/>
    </row>
    <row r="96" spans="1:6" s="108" customFormat="1" ht="15" customHeight="1" hidden="1" outlineLevel="1">
      <c r="A96" s="143" t="s">
        <v>392</v>
      </c>
      <c r="B96" s="144"/>
      <c r="C96" s="24"/>
      <c r="D96" s="24"/>
      <c r="E96" s="613"/>
      <c r="F96" s="492"/>
    </row>
    <row r="97" spans="1:6" s="108" customFormat="1" ht="15" customHeight="1" hidden="1" outlineLevel="1">
      <c r="A97" s="119" t="s">
        <v>385</v>
      </c>
      <c r="B97" s="126"/>
      <c r="C97" s="145" t="s">
        <v>114</v>
      </c>
      <c r="D97" s="93" t="str">
        <f>"("&amp;ROUND(B97/1000,3)&amp;" kWh)"</f>
        <v>(0 kWh)</v>
      </c>
      <c r="E97" s="493"/>
      <c r="F97" s="494"/>
    </row>
    <row r="98" spans="1:6" s="108" customFormat="1" ht="15" customHeight="1" hidden="1" outlineLevel="1">
      <c r="A98" s="119" t="s">
        <v>384</v>
      </c>
      <c r="B98" s="126"/>
      <c r="C98" s="145" t="s">
        <v>114</v>
      </c>
      <c r="D98" s="93" t="str">
        <f>"("&amp;ROUND(B98/1000,3)&amp;" kWh)"</f>
        <v>(0 kWh)</v>
      </c>
      <c r="E98" s="493"/>
      <c r="F98" s="494"/>
    </row>
    <row r="99" spans="1:6" s="108" customFormat="1" ht="15" customHeight="1" hidden="1" outlineLevel="1">
      <c r="A99" s="119" t="s">
        <v>386</v>
      </c>
      <c r="B99" s="126"/>
      <c r="C99" s="145" t="s">
        <v>114</v>
      </c>
      <c r="D99" s="93" t="str">
        <f>"("&amp;ROUND(B99/1000,3)&amp;" kWh)"</f>
        <v>(0 kWh)</v>
      </c>
      <c r="E99" s="493"/>
      <c r="F99" s="494"/>
    </row>
    <row r="100" spans="1:6" s="108" customFormat="1" ht="15" customHeight="1" hidden="1" outlineLevel="1">
      <c r="A100" s="119" t="s">
        <v>387</v>
      </c>
      <c r="B100" s="126"/>
      <c r="C100" s="145" t="s">
        <v>114</v>
      </c>
      <c r="D100" s="93" t="str">
        <f>"("&amp;ROUND(B100/1000,3)&amp;" kWh)"</f>
        <v>(0 kWh)</v>
      </c>
      <c r="E100" s="493"/>
      <c r="F100" s="494"/>
    </row>
    <row r="101" spans="1:6" s="108" customFormat="1" ht="15" customHeight="1" hidden="1" outlineLevel="1">
      <c r="A101" s="121" t="s">
        <v>402</v>
      </c>
      <c r="B101" s="126"/>
      <c r="C101" s="145"/>
      <c r="D101" s="146"/>
      <c r="E101" s="493"/>
      <c r="F101" s="494"/>
    </row>
    <row r="102" spans="1:6" s="108" customFormat="1" ht="15" customHeight="1" hidden="1" outlineLevel="1">
      <c r="A102" s="119" t="s">
        <v>399</v>
      </c>
      <c r="B102" s="126"/>
      <c r="C102" s="145" t="s">
        <v>114</v>
      </c>
      <c r="D102" s="93" t="str">
        <f>"("&amp;ROUND(B102/1000,3)&amp;" kWh)"</f>
        <v>(0 kWh)</v>
      </c>
      <c r="E102" s="493"/>
      <c r="F102" s="494"/>
    </row>
    <row r="103" spans="1:6" s="108" customFormat="1" ht="15" customHeight="1" hidden="1" outlineLevel="1">
      <c r="A103" s="143" t="s">
        <v>403</v>
      </c>
      <c r="B103" s="126"/>
      <c r="C103" s="145"/>
      <c r="D103" s="146"/>
      <c r="E103" s="493"/>
      <c r="F103" s="494"/>
    </row>
    <row r="104" spans="1:6" s="108" customFormat="1" ht="15" customHeight="1" hidden="1" outlineLevel="1">
      <c r="A104" s="119" t="s">
        <v>388</v>
      </c>
      <c r="B104" s="126"/>
      <c r="C104" s="145" t="s">
        <v>114</v>
      </c>
      <c r="D104" s="93" t="str">
        <f>"("&amp;ROUND(B104/1000,3)&amp;" kWh)"</f>
        <v>(0 kWh)</v>
      </c>
      <c r="E104" s="493"/>
      <c r="F104" s="494"/>
    </row>
    <row r="105" spans="1:6" s="108" customFormat="1" ht="15" customHeight="1" hidden="1" outlineLevel="1">
      <c r="A105" s="119" t="s">
        <v>389</v>
      </c>
      <c r="B105" s="126"/>
      <c r="C105" s="145" t="s">
        <v>114</v>
      </c>
      <c r="D105" s="93" t="str">
        <f>"("&amp;ROUND(B105/1000,3)&amp;" kWh)"</f>
        <v>(0 kWh)</v>
      </c>
      <c r="E105" s="493"/>
      <c r="F105" s="494"/>
    </row>
    <row r="106" spans="1:6" s="108" customFormat="1" ht="15" customHeight="1" hidden="1" outlineLevel="1">
      <c r="A106" s="143" t="s">
        <v>393</v>
      </c>
      <c r="B106" s="126"/>
      <c r="C106" s="145"/>
      <c r="D106" s="147"/>
      <c r="E106" s="493"/>
      <c r="F106" s="494"/>
    </row>
    <row r="107" spans="1:6" s="108" customFormat="1" ht="15" customHeight="1" hidden="1" outlineLevel="1">
      <c r="A107" s="119" t="s">
        <v>391</v>
      </c>
      <c r="B107" s="126"/>
      <c r="C107" s="145" t="s">
        <v>114</v>
      </c>
      <c r="D107" s="93" t="str">
        <f>"("&amp;ROUND(B107/1000,3)&amp;" kWh)"</f>
        <v>(0 kWh)</v>
      </c>
      <c r="E107" s="493"/>
      <c r="F107" s="494"/>
    </row>
    <row r="108" spans="1:6" s="108" customFormat="1" ht="15" customHeight="1" hidden="1" outlineLevel="1">
      <c r="A108" s="119" t="s">
        <v>390</v>
      </c>
      <c r="B108" s="126"/>
      <c r="C108" s="145" t="s">
        <v>114</v>
      </c>
      <c r="D108" s="93" t="str">
        <f>"("&amp;ROUND(B108/1000,3)&amp;" kWh)"</f>
        <v>(0 kWh)</v>
      </c>
      <c r="E108" s="493"/>
      <c r="F108" s="494"/>
    </row>
    <row r="109" spans="1:6" s="108" customFormat="1" ht="15" customHeight="1" hidden="1" outlineLevel="1">
      <c r="A109" s="121" t="s">
        <v>394</v>
      </c>
      <c r="B109" s="126"/>
      <c r="C109" s="148"/>
      <c r="D109" s="149"/>
      <c r="E109" s="493"/>
      <c r="F109" s="494"/>
    </row>
    <row r="110" spans="1:6" s="108" customFormat="1" ht="15" customHeight="1" hidden="1" outlineLevel="1">
      <c r="A110" s="119" t="s">
        <v>395</v>
      </c>
      <c r="B110" s="126"/>
      <c r="C110" s="118" t="s">
        <v>203</v>
      </c>
      <c r="D110" s="67" t="str">
        <f>"("&amp;ROUND(B110*100,3)&amp;" %)"</f>
        <v>(0 %)</v>
      </c>
      <c r="E110" s="493"/>
      <c r="F110" s="494"/>
    </row>
    <row r="111" spans="1:6" s="108" customFormat="1" ht="15" customHeight="1" hidden="1" outlineLevel="1">
      <c r="A111" s="119" t="s">
        <v>396</v>
      </c>
      <c r="B111" s="126"/>
      <c r="C111" s="118" t="s">
        <v>203</v>
      </c>
      <c r="D111" s="67" t="str">
        <f>"("&amp;ROUND(B111*100,3)&amp;" %)"</f>
        <v>(0 %)</v>
      </c>
      <c r="E111" s="500"/>
      <c r="F111" s="356"/>
    </row>
    <row r="112" spans="1:6" s="108" customFormat="1" ht="15" customHeight="1" hidden="1" outlineLevel="1" thickBot="1">
      <c r="A112" s="489"/>
      <c r="B112" s="611"/>
      <c r="C112" s="611"/>
      <c r="D112" s="611"/>
      <c r="E112" s="611"/>
      <c r="F112" s="612"/>
    </row>
    <row r="113" spans="1:6" s="108" customFormat="1" ht="15" customHeight="1" hidden="1" outlineLevel="1">
      <c r="A113" s="139" t="s">
        <v>38</v>
      </c>
      <c r="B113" s="140"/>
      <c r="C113" s="141"/>
      <c r="D113" s="141"/>
      <c r="E113" s="141"/>
      <c r="F113" s="142"/>
    </row>
    <row r="114" spans="1:6" s="108" customFormat="1" ht="15" customHeight="1" hidden="1" outlineLevel="1">
      <c r="A114" s="486"/>
      <c r="B114" s="487"/>
      <c r="C114" s="487"/>
      <c r="D114" s="487"/>
      <c r="E114" s="487"/>
      <c r="F114" s="488"/>
    </row>
    <row r="115" spans="1:6" s="108" customFormat="1" ht="15" customHeight="1" hidden="1" outlineLevel="1">
      <c r="A115" s="143" t="s">
        <v>392</v>
      </c>
      <c r="B115" s="144"/>
      <c r="C115" s="24"/>
      <c r="D115" s="24"/>
      <c r="E115" s="613"/>
      <c r="F115" s="492"/>
    </row>
    <row r="116" spans="1:6" s="108" customFormat="1" ht="15" customHeight="1" hidden="1" outlineLevel="1">
      <c r="A116" s="119" t="s">
        <v>385</v>
      </c>
      <c r="B116" s="126"/>
      <c r="C116" s="145" t="s">
        <v>114</v>
      </c>
      <c r="D116" s="93" t="str">
        <f>"("&amp;ROUND(B116/1000,3)&amp;" kWh)"</f>
        <v>(0 kWh)</v>
      </c>
      <c r="E116" s="493"/>
      <c r="F116" s="494"/>
    </row>
    <row r="117" spans="1:6" s="108" customFormat="1" ht="15" customHeight="1" hidden="1" outlineLevel="1">
      <c r="A117" s="119" t="s">
        <v>384</v>
      </c>
      <c r="B117" s="126"/>
      <c r="C117" s="145" t="s">
        <v>114</v>
      </c>
      <c r="D117" s="93" t="str">
        <f>"("&amp;ROUND(B117/1000,3)&amp;" kWh)"</f>
        <v>(0 kWh)</v>
      </c>
      <c r="E117" s="493"/>
      <c r="F117" s="494"/>
    </row>
    <row r="118" spans="1:6" s="108" customFormat="1" ht="15" customHeight="1" hidden="1" outlineLevel="1">
      <c r="A118" s="119" t="s">
        <v>386</v>
      </c>
      <c r="B118" s="126"/>
      <c r="C118" s="145" t="s">
        <v>114</v>
      </c>
      <c r="D118" s="93" t="str">
        <f>"("&amp;ROUND(B118/1000,3)&amp;" kWh)"</f>
        <v>(0 kWh)</v>
      </c>
      <c r="E118" s="493"/>
      <c r="F118" s="494"/>
    </row>
    <row r="119" spans="1:6" s="108" customFormat="1" ht="15" customHeight="1" hidden="1" outlineLevel="1">
      <c r="A119" s="119" t="s">
        <v>387</v>
      </c>
      <c r="B119" s="126"/>
      <c r="C119" s="145" t="s">
        <v>114</v>
      </c>
      <c r="D119" s="93" t="str">
        <f>"("&amp;ROUND(B119/1000,3)&amp;" kWh)"</f>
        <v>(0 kWh)</v>
      </c>
      <c r="E119" s="493"/>
      <c r="F119" s="494"/>
    </row>
    <row r="120" spans="1:6" s="108" customFormat="1" ht="15" customHeight="1" hidden="1" outlineLevel="1">
      <c r="A120" s="121" t="s">
        <v>402</v>
      </c>
      <c r="B120" s="126"/>
      <c r="C120" s="145"/>
      <c r="D120" s="146"/>
      <c r="E120" s="493"/>
      <c r="F120" s="494"/>
    </row>
    <row r="121" spans="1:6" s="108" customFormat="1" ht="15" customHeight="1" hidden="1" outlineLevel="1">
      <c r="A121" s="119" t="s">
        <v>399</v>
      </c>
      <c r="B121" s="126"/>
      <c r="C121" s="145" t="s">
        <v>114</v>
      </c>
      <c r="D121" s="93" t="str">
        <f>"("&amp;ROUND(B121/1000,3)&amp;" kWh)"</f>
        <v>(0 kWh)</v>
      </c>
      <c r="E121" s="493"/>
      <c r="F121" s="494"/>
    </row>
    <row r="122" spans="1:6" s="108" customFormat="1" ht="15" customHeight="1" hidden="1" outlineLevel="1">
      <c r="A122" s="143" t="s">
        <v>403</v>
      </c>
      <c r="B122" s="126"/>
      <c r="C122" s="145"/>
      <c r="D122" s="146"/>
      <c r="E122" s="493"/>
      <c r="F122" s="494"/>
    </row>
    <row r="123" spans="1:6" s="108" customFormat="1" ht="15" customHeight="1" hidden="1" outlineLevel="1">
      <c r="A123" s="119" t="s">
        <v>388</v>
      </c>
      <c r="B123" s="126"/>
      <c r="C123" s="145" t="s">
        <v>114</v>
      </c>
      <c r="D123" s="93" t="str">
        <f>"("&amp;ROUND(B123/1000,3)&amp;" kWh)"</f>
        <v>(0 kWh)</v>
      </c>
      <c r="E123" s="493"/>
      <c r="F123" s="494"/>
    </row>
    <row r="124" spans="1:6" s="108" customFormat="1" ht="15" customHeight="1" hidden="1" outlineLevel="1">
      <c r="A124" s="119" t="s">
        <v>389</v>
      </c>
      <c r="B124" s="126"/>
      <c r="C124" s="145" t="s">
        <v>114</v>
      </c>
      <c r="D124" s="93" t="str">
        <f>"("&amp;ROUND(B124/1000,3)&amp;" kWh)"</f>
        <v>(0 kWh)</v>
      </c>
      <c r="E124" s="493"/>
      <c r="F124" s="494"/>
    </row>
    <row r="125" spans="1:6" s="108" customFormat="1" ht="15" customHeight="1" hidden="1" outlineLevel="1">
      <c r="A125" s="143" t="s">
        <v>393</v>
      </c>
      <c r="B125" s="126"/>
      <c r="C125" s="145"/>
      <c r="D125" s="147"/>
      <c r="E125" s="493"/>
      <c r="F125" s="494"/>
    </row>
    <row r="126" spans="1:6" s="108" customFormat="1" ht="15" customHeight="1" hidden="1" outlineLevel="1">
      <c r="A126" s="119" t="s">
        <v>391</v>
      </c>
      <c r="B126" s="126"/>
      <c r="C126" s="145" t="s">
        <v>114</v>
      </c>
      <c r="D126" s="93" t="str">
        <f>"("&amp;ROUND(B126/1000,3)&amp;" kWh)"</f>
        <v>(0 kWh)</v>
      </c>
      <c r="E126" s="493"/>
      <c r="F126" s="494"/>
    </row>
    <row r="127" spans="1:6" s="108" customFormat="1" ht="15" customHeight="1" hidden="1" outlineLevel="1">
      <c r="A127" s="119" t="s">
        <v>390</v>
      </c>
      <c r="B127" s="126"/>
      <c r="C127" s="145" t="s">
        <v>114</v>
      </c>
      <c r="D127" s="93" t="str">
        <f>"("&amp;ROUND(B127/1000,3)&amp;" kWh)"</f>
        <v>(0 kWh)</v>
      </c>
      <c r="E127" s="493"/>
      <c r="F127" s="494"/>
    </row>
    <row r="128" spans="1:6" s="108" customFormat="1" ht="15" customHeight="1" hidden="1" outlineLevel="1">
      <c r="A128" s="121" t="s">
        <v>394</v>
      </c>
      <c r="B128" s="126"/>
      <c r="C128" s="148"/>
      <c r="D128" s="149"/>
      <c r="E128" s="493"/>
      <c r="F128" s="494"/>
    </row>
    <row r="129" spans="1:6" s="108" customFormat="1" ht="15" customHeight="1" hidden="1" outlineLevel="1">
      <c r="A129" s="119" t="s">
        <v>395</v>
      </c>
      <c r="B129" s="126"/>
      <c r="C129" s="118" t="s">
        <v>203</v>
      </c>
      <c r="D129" s="67" t="str">
        <f>"("&amp;ROUND(B129*100,3)&amp;" %)"</f>
        <v>(0 %)</v>
      </c>
      <c r="E129" s="493"/>
      <c r="F129" s="494"/>
    </row>
    <row r="130" spans="1:6" s="108" customFormat="1" ht="15" customHeight="1" hidden="1" outlineLevel="1">
      <c r="A130" s="119" t="s">
        <v>396</v>
      </c>
      <c r="B130" s="126"/>
      <c r="C130" s="118" t="s">
        <v>203</v>
      </c>
      <c r="D130" s="67" t="str">
        <f>"("&amp;ROUND(B130*100,3)&amp;" %)"</f>
        <v>(0 %)</v>
      </c>
      <c r="E130" s="500"/>
      <c r="F130" s="356"/>
    </row>
    <row r="131" spans="1:6" s="108" customFormat="1" ht="15" customHeight="1" hidden="1" outlineLevel="1" thickBot="1">
      <c r="A131" s="489"/>
      <c r="B131" s="611"/>
      <c r="C131" s="611"/>
      <c r="D131" s="611"/>
      <c r="E131" s="611"/>
      <c r="F131" s="612"/>
    </row>
    <row r="132" spans="1:6" s="108" customFormat="1" ht="15" customHeight="1" hidden="1" outlineLevel="1">
      <c r="A132" s="139" t="s">
        <v>39</v>
      </c>
      <c r="B132" s="140"/>
      <c r="C132" s="141"/>
      <c r="D132" s="141"/>
      <c r="E132" s="141"/>
      <c r="F132" s="142"/>
    </row>
    <row r="133" spans="1:6" s="108" customFormat="1" ht="15" customHeight="1" hidden="1" outlineLevel="1">
      <c r="A133" s="486"/>
      <c r="B133" s="487"/>
      <c r="C133" s="487"/>
      <c r="D133" s="487"/>
      <c r="E133" s="487"/>
      <c r="F133" s="488"/>
    </row>
    <row r="134" spans="1:6" s="108" customFormat="1" ht="15" customHeight="1" hidden="1" outlineLevel="1">
      <c r="A134" s="143" t="s">
        <v>392</v>
      </c>
      <c r="B134" s="144"/>
      <c r="C134" s="24"/>
      <c r="D134" s="24"/>
      <c r="E134" s="613"/>
      <c r="F134" s="492"/>
    </row>
    <row r="135" spans="1:6" s="108" customFormat="1" ht="15" customHeight="1" hidden="1" outlineLevel="1">
      <c r="A135" s="119" t="s">
        <v>385</v>
      </c>
      <c r="B135" s="126"/>
      <c r="C135" s="145" t="s">
        <v>114</v>
      </c>
      <c r="D135" s="93" t="str">
        <f>"("&amp;ROUND(B135/1000,3)&amp;" kWh)"</f>
        <v>(0 kWh)</v>
      </c>
      <c r="E135" s="493"/>
      <c r="F135" s="494"/>
    </row>
    <row r="136" spans="1:6" s="108" customFormat="1" ht="15" customHeight="1" hidden="1" outlineLevel="1">
      <c r="A136" s="119" t="s">
        <v>384</v>
      </c>
      <c r="B136" s="126"/>
      <c r="C136" s="145" t="s">
        <v>114</v>
      </c>
      <c r="D136" s="93" t="str">
        <f>"("&amp;ROUND(B136/1000,3)&amp;" kWh)"</f>
        <v>(0 kWh)</v>
      </c>
      <c r="E136" s="493"/>
      <c r="F136" s="494"/>
    </row>
    <row r="137" spans="1:6" s="108" customFormat="1" ht="15" customHeight="1" hidden="1" outlineLevel="1">
      <c r="A137" s="119" t="s">
        <v>386</v>
      </c>
      <c r="B137" s="126"/>
      <c r="C137" s="145" t="s">
        <v>114</v>
      </c>
      <c r="D137" s="93" t="str">
        <f>"("&amp;ROUND(B137/1000,3)&amp;" kWh)"</f>
        <v>(0 kWh)</v>
      </c>
      <c r="E137" s="493"/>
      <c r="F137" s="494"/>
    </row>
    <row r="138" spans="1:6" s="108" customFormat="1" ht="15" customHeight="1" hidden="1" outlineLevel="1">
      <c r="A138" s="119" t="s">
        <v>387</v>
      </c>
      <c r="B138" s="126"/>
      <c r="C138" s="145" t="s">
        <v>114</v>
      </c>
      <c r="D138" s="93" t="str">
        <f>"("&amp;ROUND(B138/1000,3)&amp;" kWh)"</f>
        <v>(0 kWh)</v>
      </c>
      <c r="E138" s="493"/>
      <c r="F138" s="494"/>
    </row>
    <row r="139" spans="1:6" s="108" customFormat="1" ht="15" customHeight="1" hidden="1" outlineLevel="1">
      <c r="A139" s="121" t="s">
        <v>402</v>
      </c>
      <c r="B139" s="126"/>
      <c r="C139" s="145"/>
      <c r="D139" s="146"/>
      <c r="E139" s="493"/>
      <c r="F139" s="494"/>
    </row>
    <row r="140" spans="1:6" s="108" customFormat="1" ht="15" customHeight="1" hidden="1" outlineLevel="1">
      <c r="A140" s="119" t="s">
        <v>399</v>
      </c>
      <c r="B140" s="126"/>
      <c r="C140" s="145" t="s">
        <v>114</v>
      </c>
      <c r="D140" s="93" t="str">
        <f>"("&amp;ROUND(B140/1000,3)&amp;" kWh)"</f>
        <v>(0 kWh)</v>
      </c>
      <c r="E140" s="493"/>
      <c r="F140" s="494"/>
    </row>
    <row r="141" spans="1:6" s="108" customFormat="1" ht="15" customHeight="1" hidden="1" outlineLevel="1">
      <c r="A141" s="143" t="s">
        <v>403</v>
      </c>
      <c r="B141" s="126"/>
      <c r="C141" s="145"/>
      <c r="D141" s="146"/>
      <c r="E141" s="493"/>
      <c r="F141" s="494"/>
    </row>
    <row r="142" spans="1:6" s="108" customFormat="1" ht="15" customHeight="1" hidden="1" outlineLevel="1">
      <c r="A142" s="119" t="s">
        <v>388</v>
      </c>
      <c r="B142" s="126"/>
      <c r="C142" s="145" t="s">
        <v>114</v>
      </c>
      <c r="D142" s="93" t="str">
        <f>"("&amp;ROUND(B142/1000,3)&amp;" kWh)"</f>
        <v>(0 kWh)</v>
      </c>
      <c r="E142" s="493"/>
      <c r="F142" s="494"/>
    </row>
    <row r="143" spans="1:6" s="108" customFormat="1" ht="15" customHeight="1" hidden="1" outlineLevel="1">
      <c r="A143" s="119" t="s">
        <v>389</v>
      </c>
      <c r="B143" s="126"/>
      <c r="C143" s="145" t="s">
        <v>114</v>
      </c>
      <c r="D143" s="93" t="str">
        <f>"("&amp;ROUND(B143/1000,3)&amp;" kWh)"</f>
        <v>(0 kWh)</v>
      </c>
      <c r="E143" s="493"/>
      <c r="F143" s="494"/>
    </row>
    <row r="144" spans="1:6" s="108" customFormat="1" ht="15" customHeight="1" hidden="1" outlineLevel="1">
      <c r="A144" s="143" t="s">
        <v>393</v>
      </c>
      <c r="B144" s="126"/>
      <c r="C144" s="145"/>
      <c r="D144" s="147"/>
      <c r="E144" s="493"/>
      <c r="F144" s="494"/>
    </row>
    <row r="145" spans="1:6" s="108" customFormat="1" ht="15" customHeight="1" hidden="1" outlineLevel="1">
      <c r="A145" s="119" t="s">
        <v>391</v>
      </c>
      <c r="B145" s="126"/>
      <c r="C145" s="145" t="s">
        <v>114</v>
      </c>
      <c r="D145" s="93" t="str">
        <f>"("&amp;ROUND(B145/1000,3)&amp;" kWh)"</f>
        <v>(0 kWh)</v>
      </c>
      <c r="E145" s="493"/>
      <c r="F145" s="494"/>
    </row>
    <row r="146" spans="1:6" s="108" customFormat="1" ht="15" customHeight="1" hidden="1" outlineLevel="1">
      <c r="A146" s="119" t="s">
        <v>390</v>
      </c>
      <c r="B146" s="126"/>
      <c r="C146" s="145" t="s">
        <v>114</v>
      </c>
      <c r="D146" s="93" t="str">
        <f>"("&amp;ROUND(B146/1000,3)&amp;" kWh)"</f>
        <v>(0 kWh)</v>
      </c>
      <c r="E146" s="493"/>
      <c r="F146" s="494"/>
    </row>
    <row r="147" spans="1:6" s="108" customFormat="1" ht="15" customHeight="1" hidden="1" outlineLevel="1">
      <c r="A147" s="121" t="s">
        <v>394</v>
      </c>
      <c r="B147" s="126"/>
      <c r="C147" s="148"/>
      <c r="D147" s="149"/>
      <c r="E147" s="493"/>
      <c r="F147" s="494"/>
    </row>
    <row r="148" spans="1:6" s="108" customFormat="1" ht="15" customHeight="1" hidden="1" outlineLevel="1">
      <c r="A148" s="119" t="s">
        <v>395</v>
      </c>
      <c r="B148" s="126"/>
      <c r="C148" s="118" t="s">
        <v>203</v>
      </c>
      <c r="D148" s="67" t="str">
        <f>"("&amp;ROUND(B148*100,3)&amp;" %)"</f>
        <v>(0 %)</v>
      </c>
      <c r="E148" s="493"/>
      <c r="F148" s="494"/>
    </row>
    <row r="149" spans="1:6" s="108" customFormat="1" ht="15" customHeight="1" hidden="1" outlineLevel="1">
      <c r="A149" s="119" t="s">
        <v>396</v>
      </c>
      <c r="B149" s="126"/>
      <c r="C149" s="118" t="s">
        <v>203</v>
      </c>
      <c r="D149" s="67" t="str">
        <f>"("&amp;ROUND(B149*100,3)&amp;" %)"</f>
        <v>(0 %)</v>
      </c>
      <c r="E149" s="500"/>
      <c r="F149" s="356"/>
    </row>
    <row r="150" spans="1:6" s="108" customFormat="1" ht="15" customHeight="1" hidden="1" outlineLevel="1" thickBot="1">
      <c r="A150" s="489"/>
      <c r="B150" s="611"/>
      <c r="C150" s="611"/>
      <c r="D150" s="611"/>
      <c r="E150" s="611"/>
      <c r="F150" s="612"/>
    </row>
    <row r="151" spans="1:6" s="108" customFormat="1" ht="15" customHeight="1" hidden="1" outlineLevel="1">
      <c r="A151" s="139" t="s">
        <v>40</v>
      </c>
      <c r="B151" s="140"/>
      <c r="C151" s="141"/>
      <c r="D151" s="141"/>
      <c r="E151" s="141"/>
      <c r="F151" s="142"/>
    </row>
    <row r="152" spans="1:6" s="108" customFormat="1" ht="15" customHeight="1" hidden="1" outlineLevel="1">
      <c r="A152" s="486"/>
      <c r="B152" s="487"/>
      <c r="C152" s="487"/>
      <c r="D152" s="487"/>
      <c r="E152" s="487"/>
      <c r="F152" s="488"/>
    </row>
    <row r="153" spans="1:6" s="108" customFormat="1" ht="15" customHeight="1" hidden="1" outlineLevel="1">
      <c r="A153" s="143" t="s">
        <v>392</v>
      </c>
      <c r="B153" s="144"/>
      <c r="C153" s="24"/>
      <c r="D153" s="24"/>
      <c r="E153" s="613"/>
      <c r="F153" s="492"/>
    </row>
    <row r="154" spans="1:6" s="108" customFormat="1" ht="15" customHeight="1" hidden="1" outlineLevel="1">
      <c r="A154" s="119" t="s">
        <v>385</v>
      </c>
      <c r="B154" s="126"/>
      <c r="C154" s="145" t="s">
        <v>114</v>
      </c>
      <c r="D154" s="93" t="str">
        <f>"("&amp;ROUND(B154/1000,3)&amp;" kWh)"</f>
        <v>(0 kWh)</v>
      </c>
      <c r="E154" s="493"/>
      <c r="F154" s="494"/>
    </row>
    <row r="155" spans="1:6" s="108" customFormat="1" ht="15" customHeight="1" hidden="1" outlineLevel="1">
      <c r="A155" s="119" t="s">
        <v>384</v>
      </c>
      <c r="B155" s="126"/>
      <c r="C155" s="145" t="s">
        <v>114</v>
      </c>
      <c r="D155" s="93" t="str">
        <f>"("&amp;ROUND(B155/1000,3)&amp;" kWh)"</f>
        <v>(0 kWh)</v>
      </c>
      <c r="E155" s="493"/>
      <c r="F155" s="494"/>
    </row>
    <row r="156" spans="1:6" s="108" customFormat="1" ht="15" customHeight="1" hidden="1" outlineLevel="1">
      <c r="A156" s="119" t="s">
        <v>386</v>
      </c>
      <c r="B156" s="126"/>
      <c r="C156" s="145" t="s">
        <v>114</v>
      </c>
      <c r="D156" s="93" t="str">
        <f>"("&amp;ROUND(B156/1000,3)&amp;" kWh)"</f>
        <v>(0 kWh)</v>
      </c>
      <c r="E156" s="493"/>
      <c r="F156" s="494"/>
    </row>
    <row r="157" spans="1:6" s="108" customFormat="1" ht="15" customHeight="1" hidden="1" outlineLevel="1">
      <c r="A157" s="119" t="s">
        <v>387</v>
      </c>
      <c r="B157" s="126"/>
      <c r="C157" s="145" t="s">
        <v>114</v>
      </c>
      <c r="D157" s="93" t="str">
        <f>"("&amp;ROUND(B157/1000,3)&amp;" kWh)"</f>
        <v>(0 kWh)</v>
      </c>
      <c r="E157" s="493"/>
      <c r="F157" s="494"/>
    </row>
    <row r="158" spans="1:6" s="108" customFormat="1" ht="15" customHeight="1" hidden="1" outlineLevel="1">
      <c r="A158" s="121" t="s">
        <v>402</v>
      </c>
      <c r="B158" s="126"/>
      <c r="C158" s="145"/>
      <c r="D158" s="146"/>
      <c r="E158" s="493"/>
      <c r="F158" s="494"/>
    </row>
    <row r="159" spans="1:6" s="108" customFormat="1" ht="15" customHeight="1" hidden="1" outlineLevel="1">
      <c r="A159" s="119" t="s">
        <v>399</v>
      </c>
      <c r="B159" s="126"/>
      <c r="C159" s="145" t="s">
        <v>114</v>
      </c>
      <c r="D159" s="93" t="str">
        <f>"("&amp;ROUND(B159/1000,3)&amp;" kWh)"</f>
        <v>(0 kWh)</v>
      </c>
      <c r="E159" s="493"/>
      <c r="F159" s="494"/>
    </row>
    <row r="160" spans="1:6" s="108" customFormat="1" ht="15" customHeight="1" hidden="1" outlineLevel="1">
      <c r="A160" s="143" t="s">
        <v>403</v>
      </c>
      <c r="B160" s="126"/>
      <c r="C160" s="145"/>
      <c r="D160" s="146"/>
      <c r="E160" s="493"/>
      <c r="F160" s="494"/>
    </row>
    <row r="161" spans="1:6" s="108" customFormat="1" ht="15" customHeight="1" hidden="1" outlineLevel="1">
      <c r="A161" s="119" t="s">
        <v>388</v>
      </c>
      <c r="B161" s="126"/>
      <c r="C161" s="145" t="s">
        <v>114</v>
      </c>
      <c r="D161" s="93" t="str">
        <f>"("&amp;ROUND(B161/1000,3)&amp;" kWh)"</f>
        <v>(0 kWh)</v>
      </c>
      <c r="E161" s="493"/>
      <c r="F161" s="494"/>
    </row>
    <row r="162" spans="1:6" s="108" customFormat="1" ht="15" customHeight="1" hidden="1" outlineLevel="1">
      <c r="A162" s="119" t="s">
        <v>389</v>
      </c>
      <c r="B162" s="126"/>
      <c r="C162" s="145" t="s">
        <v>114</v>
      </c>
      <c r="D162" s="93" t="str">
        <f>"("&amp;ROUND(B162/1000,3)&amp;" kWh)"</f>
        <v>(0 kWh)</v>
      </c>
      <c r="E162" s="493"/>
      <c r="F162" s="494"/>
    </row>
    <row r="163" spans="1:6" s="108" customFormat="1" ht="15" customHeight="1" hidden="1" outlineLevel="1">
      <c r="A163" s="143" t="s">
        <v>393</v>
      </c>
      <c r="B163" s="126"/>
      <c r="C163" s="145"/>
      <c r="D163" s="147"/>
      <c r="E163" s="493"/>
      <c r="F163" s="494"/>
    </row>
    <row r="164" spans="1:6" s="108" customFormat="1" ht="15" customHeight="1" hidden="1" outlineLevel="1">
      <c r="A164" s="119" t="s">
        <v>391</v>
      </c>
      <c r="B164" s="126"/>
      <c r="C164" s="145" t="s">
        <v>114</v>
      </c>
      <c r="D164" s="93" t="str">
        <f>"("&amp;ROUND(B164/1000,3)&amp;" kWh)"</f>
        <v>(0 kWh)</v>
      </c>
      <c r="E164" s="493"/>
      <c r="F164" s="494"/>
    </row>
    <row r="165" spans="1:6" s="108" customFormat="1" ht="15" customHeight="1" hidden="1" outlineLevel="1">
      <c r="A165" s="119" t="s">
        <v>390</v>
      </c>
      <c r="B165" s="126"/>
      <c r="C165" s="145" t="s">
        <v>114</v>
      </c>
      <c r="D165" s="93" t="str">
        <f>"("&amp;ROUND(B165/1000,3)&amp;" kWh)"</f>
        <v>(0 kWh)</v>
      </c>
      <c r="E165" s="493"/>
      <c r="F165" s="494"/>
    </row>
    <row r="166" spans="1:6" s="108" customFormat="1" ht="15" customHeight="1" hidden="1" outlineLevel="1">
      <c r="A166" s="121" t="s">
        <v>394</v>
      </c>
      <c r="B166" s="126"/>
      <c r="C166" s="148"/>
      <c r="D166" s="149"/>
      <c r="E166" s="493"/>
      <c r="F166" s="494"/>
    </row>
    <row r="167" spans="1:6" s="108" customFormat="1" ht="15" customHeight="1" hidden="1" outlineLevel="1">
      <c r="A167" s="119" t="s">
        <v>395</v>
      </c>
      <c r="B167" s="126"/>
      <c r="C167" s="118" t="s">
        <v>203</v>
      </c>
      <c r="D167" s="67" t="str">
        <f>"("&amp;ROUND(B167*100,3)&amp;" %)"</f>
        <v>(0 %)</v>
      </c>
      <c r="E167" s="493"/>
      <c r="F167" s="494"/>
    </row>
    <row r="168" spans="1:6" s="108" customFormat="1" ht="15" customHeight="1" hidden="1" outlineLevel="1">
      <c r="A168" s="119" t="s">
        <v>396</v>
      </c>
      <c r="B168" s="126"/>
      <c r="C168" s="118" t="s">
        <v>203</v>
      </c>
      <c r="D168" s="67" t="str">
        <f>"("&amp;ROUND(B168*100,3)&amp;" %)"</f>
        <v>(0 %)</v>
      </c>
      <c r="E168" s="500"/>
      <c r="F168" s="356"/>
    </row>
    <row r="169" spans="1:6" s="108" customFormat="1" ht="15" customHeight="1" hidden="1" outlineLevel="1" thickBot="1">
      <c r="A169" s="489"/>
      <c r="B169" s="611"/>
      <c r="C169" s="611"/>
      <c r="D169" s="611"/>
      <c r="E169" s="611"/>
      <c r="F169" s="612"/>
    </row>
    <row r="170" spans="1:6" s="108" customFormat="1" ht="15" customHeight="1" hidden="1" outlineLevel="1">
      <c r="A170" s="139" t="s">
        <v>41</v>
      </c>
      <c r="B170" s="140"/>
      <c r="C170" s="141"/>
      <c r="D170" s="141"/>
      <c r="E170" s="141"/>
      <c r="F170" s="142"/>
    </row>
    <row r="171" spans="1:6" s="108" customFormat="1" ht="15" customHeight="1" hidden="1" outlineLevel="1">
      <c r="A171" s="486"/>
      <c r="B171" s="487"/>
      <c r="C171" s="487"/>
      <c r="D171" s="487"/>
      <c r="E171" s="487"/>
      <c r="F171" s="488"/>
    </row>
    <row r="172" spans="1:6" s="108" customFormat="1" ht="15" customHeight="1" hidden="1" outlineLevel="1">
      <c r="A172" s="143" t="s">
        <v>392</v>
      </c>
      <c r="B172" s="144"/>
      <c r="C172" s="24"/>
      <c r="D172" s="24"/>
      <c r="E172" s="613"/>
      <c r="F172" s="492"/>
    </row>
    <row r="173" spans="1:6" s="108" customFormat="1" ht="15" customHeight="1" hidden="1" outlineLevel="1">
      <c r="A173" s="119" t="s">
        <v>385</v>
      </c>
      <c r="B173" s="126"/>
      <c r="C173" s="145" t="s">
        <v>114</v>
      </c>
      <c r="D173" s="93" t="str">
        <f>"("&amp;ROUND(B173/1000,3)&amp;" kWh)"</f>
        <v>(0 kWh)</v>
      </c>
      <c r="E173" s="493"/>
      <c r="F173" s="494"/>
    </row>
    <row r="174" spans="1:6" s="108" customFormat="1" ht="15" customHeight="1" hidden="1" outlineLevel="1">
      <c r="A174" s="119" t="s">
        <v>384</v>
      </c>
      <c r="B174" s="126"/>
      <c r="C174" s="145" t="s">
        <v>114</v>
      </c>
      <c r="D174" s="93" t="str">
        <f>"("&amp;ROUND(B174/1000,3)&amp;" kWh)"</f>
        <v>(0 kWh)</v>
      </c>
      <c r="E174" s="493"/>
      <c r="F174" s="494"/>
    </row>
    <row r="175" spans="1:6" s="108" customFormat="1" ht="15" customHeight="1" hidden="1" outlineLevel="1">
      <c r="A175" s="119" t="s">
        <v>386</v>
      </c>
      <c r="B175" s="126"/>
      <c r="C175" s="145" t="s">
        <v>114</v>
      </c>
      <c r="D175" s="93" t="str">
        <f>"("&amp;ROUND(B175/1000,3)&amp;" kWh)"</f>
        <v>(0 kWh)</v>
      </c>
      <c r="E175" s="493"/>
      <c r="F175" s="494"/>
    </row>
    <row r="176" spans="1:6" s="108" customFormat="1" ht="15" customHeight="1" hidden="1" outlineLevel="1">
      <c r="A176" s="119" t="s">
        <v>387</v>
      </c>
      <c r="B176" s="126"/>
      <c r="C176" s="145" t="s">
        <v>114</v>
      </c>
      <c r="D176" s="93" t="str">
        <f>"("&amp;ROUND(B176/1000,3)&amp;" kWh)"</f>
        <v>(0 kWh)</v>
      </c>
      <c r="E176" s="493"/>
      <c r="F176" s="494"/>
    </row>
    <row r="177" spans="1:6" s="108" customFormat="1" ht="15" customHeight="1" hidden="1" outlineLevel="1">
      <c r="A177" s="121" t="s">
        <v>402</v>
      </c>
      <c r="B177" s="126"/>
      <c r="C177" s="145"/>
      <c r="D177" s="146"/>
      <c r="E177" s="493"/>
      <c r="F177" s="494"/>
    </row>
    <row r="178" spans="1:6" s="108" customFormat="1" ht="15" customHeight="1" hidden="1" outlineLevel="1">
      <c r="A178" s="119" t="s">
        <v>399</v>
      </c>
      <c r="B178" s="126"/>
      <c r="C178" s="145" t="s">
        <v>114</v>
      </c>
      <c r="D178" s="93" t="str">
        <f>"("&amp;ROUND(B178/1000,3)&amp;" kWh)"</f>
        <v>(0 kWh)</v>
      </c>
      <c r="E178" s="493"/>
      <c r="F178" s="494"/>
    </row>
    <row r="179" spans="1:6" s="108" customFormat="1" ht="15" customHeight="1" hidden="1" outlineLevel="1">
      <c r="A179" s="143" t="s">
        <v>403</v>
      </c>
      <c r="B179" s="126"/>
      <c r="C179" s="145"/>
      <c r="D179" s="146"/>
      <c r="E179" s="493"/>
      <c r="F179" s="494"/>
    </row>
    <row r="180" spans="1:6" s="108" customFormat="1" ht="15" customHeight="1" hidden="1" outlineLevel="1">
      <c r="A180" s="119" t="s">
        <v>388</v>
      </c>
      <c r="B180" s="126"/>
      <c r="C180" s="145" t="s">
        <v>114</v>
      </c>
      <c r="D180" s="93" t="str">
        <f>"("&amp;ROUND(B180/1000,3)&amp;" kWh)"</f>
        <v>(0 kWh)</v>
      </c>
      <c r="E180" s="493"/>
      <c r="F180" s="494"/>
    </row>
    <row r="181" spans="1:6" s="108" customFormat="1" ht="15" customHeight="1" hidden="1" outlineLevel="1">
      <c r="A181" s="119" t="s">
        <v>389</v>
      </c>
      <c r="B181" s="126"/>
      <c r="C181" s="145" t="s">
        <v>114</v>
      </c>
      <c r="D181" s="93" t="str">
        <f>"("&amp;ROUND(B181/1000,3)&amp;" kWh)"</f>
        <v>(0 kWh)</v>
      </c>
      <c r="E181" s="493"/>
      <c r="F181" s="494"/>
    </row>
    <row r="182" spans="1:6" s="108" customFormat="1" ht="15" customHeight="1" hidden="1" outlineLevel="1">
      <c r="A182" s="143" t="s">
        <v>393</v>
      </c>
      <c r="B182" s="126"/>
      <c r="C182" s="145"/>
      <c r="D182" s="147"/>
      <c r="E182" s="493"/>
      <c r="F182" s="494"/>
    </row>
    <row r="183" spans="1:6" s="108" customFormat="1" ht="15" customHeight="1" hidden="1" outlineLevel="1">
      <c r="A183" s="119" t="s">
        <v>391</v>
      </c>
      <c r="B183" s="126"/>
      <c r="C183" s="145" t="s">
        <v>114</v>
      </c>
      <c r="D183" s="93" t="str">
        <f>"("&amp;ROUND(B183/1000,3)&amp;" kWh)"</f>
        <v>(0 kWh)</v>
      </c>
      <c r="E183" s="493"/>
      <c r="F183" s="494"/>
    </row>
    <row r="184" spans="1:6" s="108" customFormat="1" ht="15" customHeight="1" hidden="1" outlineLevel="1">
      <c r="A184" s="119" t="s">
        <v>390</v>
      </c>
      <c r="B184" s="126"/>
      <c r="C184" s="145" t="s">
        <v>114</v>
      </c>
      <c r="D184" s="93" t="str">
        <f>"("&amp;ROUND(B184/1000,3)&amp;" kWh)"</f>
        <v>(0 kWh)</v>
      </c>
      <c r="E184" s="493"/>
      <c r="F184" s="494"/>
    </row>
    <row r="185" spans="1:6" s="108" customFormat="1" ht="15" customHeight="1" hidden="1" outlineLevel="1">
      <c r="A185" s="121" t="s">
        <v>394</v>
      </c>
      <c r="B185" s="126"/>
      <c r="C185" s="148"/>
      <c r="D185" s="149"/>
      <c r="E185" s="493"/>
      <c r="F185" s="494"/>
    </row>
    <row r="186" spans="1:6" s="108" customFormat="1" ht="15" customHeight="1" hidden="1" outlineLevel="1">
      <c r="A186" s="119" t="s">
        <v>395</v>
      </c>
      <c r="B186" s="126"/>
      <c r="C186" s="118" t="s">
        <v>203</v>
      </c>
      <c r="D186" s="67" t="str">
        <f>"("&amp;ROUND(B186*100,3)&amp;" %)"</f>
        <v>(0 %)</v>
      </c>
      <c r="E186" s="493"/>
      <c r="F186" s="494"/>
    </row>
    <row r="187" spans="1:6" s="108" customFormat="1" ht="15" customHeight="1" hidden="1" outlineLevel="1">
      <c r="A187" s="119" t="s">
        <v>396</v>
      </c>
      <c r="B187" s="126"/>
      <c r="C187" s="118" t="s">
        <v>203</v>
      </c>
      <c r="D187" s="67" t="str">
        <f>"("&amp;ROUND(B187*100,3)&amp;" %)"</f>
        <v>(0 %)</v>
      </c>
      <c r="E187" s="500"/>
      <c r="F187" s="356"/>
    </row>
    <row r="188" spans="1:6" s="108" customFormat="1" ht="15" customHeight="1" hidden="1" outlineLevel="1" thickBot="1">
      <c r="A188" s="489"/>
      <c r="B188" s="611"/>
      <c r="C188" s="611"/>
      <c r="D188" s="611"/>
      <c r="E188" s="611"/>
      <c r="F188" s="612"/>
    </row>
    <row r="189" spans="1:6" s="108" customFormat="1" ht="15" customHeight="1" hidden="1" outlineLevel="1">
      <c r="A189" s="139" t="s">
        <v>42</v>
      </c>
      <c r="B189" s="140"/>
      <c r="C189" s="141"/>
      <c r="D189" s="141"/>
      <c r="E189" s="141"/>
      <c r="F189" s="142"/>
    </row>
    <row r="190" spans="1:6" s="108" customFormat="1" ht="15" customHeight="1" hidden="1" outlineLevel="1">
      <c r="A190" s="486"/>
      <c r="B190" s="487"/>
      <c r="C190" s="487"/>
      <c r="D190" s="487"/>
      <c r="E190" s="487"/>
      <c r="F190" s="488"/>
    </row>
    <row r="191" spans="1:6" s="108" customFormat="1" ht="15" customHeight="1" hidden="1" outlineLevel="1">
      <c r="A191" s="143" t="s">
        <v>392</v>
      </c>
      <c r="B191" s="144"/>
      <c r="C191" s="24"/>
      <c r="D191" s="24"/>
      <c r="E191" s="613"/>
      <c r="F191" s="492"/>
    </row>
    <row r="192" spans="1:6" s="108" customFormat="1" ht="15" customHeight="1" hidden="1" outlineLevel="1">
      <c r="A192" s="119" t="s">
        <v>385</v>
      </c>
      <c r="B192" s="126"/>
      <c r="C192" s="145" t="s">
        <v>114</v>
      </c>
      <c r="D192" s="93" t="str">
        <f>"("&amp;ROUND(B192/1000,3)&amp;" kWh)"</f>
        <v>(0 kWh)</v>
      </c>
      <c r="E192" s="493"/>
      <c r="F192" s="494"/>
    </row>
    <row r="193" spans="1:6" s="108" customFormat="1" ht="15" customHeight="1" hidden="1" outlineLevel="1">
      <c r="A193" s="119" t="s">
        <v>384</v>
      </c>
      <c r="B193" s="126"/>
      <c r="C193" s="145" t="s">
        <v>114</v>
      </c>
      <c r="D193" s="93" t="str">
        <f>"("&amp;ROUND(B193/1000,3)&amp;" kWh)"</f>
        <v>(0 kWh)</v>
      </c>
      <c r="E193" s="493"/>
      <c r="F193" s="494"/>
    </row>
    <row r="194" spans="1:6" s="108" customFormat="1" ht="15" customHeight="1" hidden="1" outlineLevel="1">
      <c r="A194" s="119" t="s">
        <v>386</v>
      </c>
      <c r="B194" s="126"/>
      <c r="C194" s="145" t="s">
        <v>114</v>
      </c>
      <c r="D194" s="93" t="str">
        <f>"("&amp;ROUND(B194/1000,3)&amp;" kWh)"</f>
        <v>(0 kWh)</v>
      </c>
      <c r="E194" s="493"/>
      <c r="F194" s="494"/>
    </row>
    <row r="195" spans="1:6" s="108" customFormat="1" ht="15" customHeight="1" hidden="1" outlineLevel="1">
      <c r="A195" s="119" t="s">
        <v>387</v>
      </c>
      <c r="B195" s="126"/>
      <c r="C195" s="145" t="s">
        <v>114</v>
      </c>
      <c r="D195" s="93" t="str">
        <f>"("&amp;ROUND(B195/1000,3)&amp;" kWh)"</f>
        <v>(0 kWh)</v>
      </c>
      <c r="E195" s="493"/>
      <c r="F195" s="494"/>
    </row>
    <row r="196" spans="1:6" s="108" customFormat="1" ht="15" customHeight="1" hidden="1" outlineLevel="1">
      <c r="A196" s="121" t="s">
        <v>402</v>
      </c>
      <c r="B196" s="126"/>
      <c r="C196" s="145"/>
      <c r="D196" s="146"/>
      <c r="E196" s="493"/>
      <c r="F196" s="494"/>
    </row>
    <row r="197" spans="1:6" s="108" customFormat="1" ht="15" customHeight="1" hidden="1" outlineLevel="1">
      <c r="A197" s="119" t="s">
        <v>399</v>
      </c>
      <c r="B197" s="126"/>
      <c r="C197" s="145" t="s">
        <v>114</v>
      </c>
      <c r="D197" s="93" t="str">
        <f>"("&amp;ROUND(B197/1000,3)&amp;" kWh)"</f>
        <v>(0 kWh)</v>
      </c>
      <c r="E197" s="493"/>
      <c r="F197" s="494"/>
    </row>
    <row r="198" spans="1:6" s="108" customFormat="1" ht="15" customHeight="1" hidden="1" outlineLevel="1">
      <c r="A198" s="143" t="s">
        <v>403</v>
      </c>
      <c r="B198" s="126"/>
      <c r="C198" s="145"/>
      <c r="D198" s="146"/>
      <c r="E198" s="493"/>
      <c r="F198" s="494"/>
    </row>
    <row r="199" spans="1:6" s="108" customFormat="1" ht="15" customHeight="1" hidden="1" outlineLevel="1">
      <c r="A199" s="119" t="s">
        <v>388</v>
      </c>
      <c r="B199" s="126"/>
      <c r="C199" s="145" t="s">
        <v>114</v>
      </c>
      <c r="D199" s="93" t="str">
        <f>"("&amp;ROUND(B199/1000,3)&amp;" kWh)"</f>
        <v>(0 kWh)</v>
      </c>
      <c r="E199" s="493"/>
      <c r="F199" s="494"/>
    </row>
    <row r="200" spans="1:6" s="108" customFormat="1" ht="15" customHeight="1" hidden="1" outlineLevel="1">
      <c r="A200" s="119" t="s">
        <v>389</v>
      </c>
      <c r="B200" s="126"/>
      <c r="C200" s="145" t="s">
        <v>114</v>
      </c>
      <c r="D200" s="93" t="str">
        <f>"("&amp;ROUND(B200/1000,3)&amp;" kWh)"</f>
        <v>(0 kWh)</v>
      </c>
      <c r="E200" s="493"/>
      <c r="F200" s="494"/>
    </row>
    <row r="201" spans="1:6" s="108" customFormat="1" ht="15" customHeight="1" hidden="1" outlineLevel="1">
      <c r="A201" s="143" t="s">
        <v>393</v>
      </c>
      <c r="B201" s="126"/>
      <c r="C201" s="145"/>
      <c r="D201" s="147"/>
      <c r="E201" s="493"/>
      <c r="F201" s="494"/>
    </row>
    <row r="202" spans="1:6" s="108" customFormat="1" ht="15" customHeight="1" hidden="1" outlineLevel="1">
      <c r="A202" s="119" t="s">
        <v>391</v>
      </c>
      <c r="B202" s="126"/>
      <c r="C202" s="145" t="s">
        <v>114</v>
      </c>
      <c r="D202" s="93" t="str">
        <f>"("&amp;ROUND(B202/1000,3)&amp;" kWh)"</f>
        <v>(0 kWh)</v>
      </c>
      <c r="E202" s="493"/>
      <c r="F202" s="494"/>
    </row>
    <row r="203" spans="1:6" s="108" customFormat="1" ht="15" customHeight="1" hidden="1" outlineLevel="1">
      <c r="A203" s="119" t="s">
        <v>390</v>
      </c>
      <c r="B203" s="126"/>
      <c r="C203" s="145" t="s">
        <v>114</v>
      </c>
      <c r="D203" s="93" t="str">
        <f>"("&amp;ROUND(B203/1000,3)&amp;" kWh)"</f>
        <v>(0 kWh)</v>
      </c>
      <c r="E203" s="493"/>
      <c r="F203" s="494"/>
    </row>
    <row r="204" spans="1:6" s="108" customFormat="1" ht="15" customHeight="1" hidden="1" outlineLevel="1">
      <c r="A204" s="121" t="s">
        <v>394</v>
      </c>
      <c r="B204" s="126"/>
      <c r="C204" s="148"/>
      <c r="D204" s="149"/>
      <c r="E204" s="493"/>
      <c r="F204" s="494"/>
    </row>
    <row r="205" spans="1:6" s="108" customFormat="1" ht="15" customHeight="1" hidden="1" outlineLevel="1">
      <c r="A205" s="119" t="s">
        <v>395</v>
      </c>
      <c r="B205" s="126"/>
      <c r="C205" s="118" t="s">
        <v>203</v>
      </c>
      <c r="D205" s="67" t="str">
        <f>"("&amp;ROUND(B205*100,3)&amp;" %)"</f>
        <v>(0 %)</v>
      </c>
      <c r="E205" s="493"/>
      <c r="F205" s="494"/>
    </row>
    <row r="206" spans="1:6" s="108" customFormat="1" ht="15" customHeight="1" hidden="1" outlineLevel="1">
      <c r="A206" s="119" t="s">
        <v>396</v>
      </c>
      <c r="B206" s="126"/>
      <c r="C206" s="118" t="s">
        <v>203</v>
      </c>
      <c r="D206" s="67" t="str">
        <f>"("&amp;ROUND(B206*100,3)&amp;" %)"</f>
        <v>(0 %)</v>
      </c>
      <c r="E206" s="500"/>
      <c r="F206" s="356"/>
    </row>
    <row r="207" spans="1:6" s="108" customFormat="1" ht="15" customHeight="1" hidden="1" outlineLevel="1" thickBot="1">
      <c r="A207" s="489"/>
      <c r="B207" s="611"/>
      <c r="C207" s="611"/>
      <c r="D207" s="611"/>
      <c r="E207" s="611"/>
      <c r="F207" s="612"/>
    </row>
    <row r="208" spans="1:6" s="108" customFormat="1" ht="15" customHeight="1" hidden="1" outlineLevel="1">
      <c r="A208" s="139" t="s">
        <v>43</v>
      </c>
      <c r="B208" s="140"/>
      <c r="C208" s="141"/>
      <c r="D208" s="141"/>
      <c r="E208" s="141"/>
      <c r="F208" s="142"/>
    </row>
    <row r="209" spans="1:6" s="108" customFormat="1" ht="15" customHeight="1" hidden="1" outlineLevel="1">
      <c r="A209" s="486"/>
      <c r="B209" s="487"/>
      <c r="C209" s="487"/>
      <c r="D209" s="487"/>
      <c r="E209" s="487"/>
      <c r="F209" s="488"/>
    </row>
    <row r="210" spans="1:6" s="108" customFormat="1" ht="15" customHeight="1" hidden="1" outlineLevel="1">
      <c r="A210" s="143" t="s">
        <v>392</v>
      </c>
      <c r="B210" s="144"/>
      <c r="C210" s="24"/>
      <c r="D210" s="24"/>
      <c r="E210" s="613"/>
      <c r="F210" s="492"/>
    </row>
    <row r="211" spans="1:6" s="108" customFormat="1" ht="15" customHeight="1" hidden="1" outlineLevel="1">
      <c r="A211" s="119" t="s">
        <v>385</v>
      </c>
      <c r="B211" s="126"/>
      <c r="C211" s="145" t="s">
        <v>114</v>
      </c>
      <c r="D211" s="93" t="str">
        <f>"("&amp;ROUND(B211/1000,3)&amp;" kWh)"</f>
        <v>(0 kWh)</v>
      </c>
      <c r="E211" s="493"/>
      <c r="F211" s="494"/>
    </row>
    <row r="212" spans="1:6" s="108" customFormat="1" ht="15" customHeight="1" hidden="1" outlineLevel="1">
      <c r="A212" s="119" t="s">
        <v>384</v>
      </c>
      <c r="B212" s="126"/>
      <c r="C212" s="145" t="s">
        <v>114</v>
      </c>
      <c r="D212" s="93" t="str">
        <f>"("&amp;ROUND(B212/1000,3)&amp;" kWh)"</f>
        <v>(0 kWh)</v>
      </c>
      <c r="E212" s="493"/>
      <c r="F212" s="494"/>
    </row>
    <row r="213" spans="1:6" s="108" customFormat="1" ht="15" customHeight="1" hidden="1" outlineLevel="1">
      <c r="A213" s="119" t="s">
        <v>386</v>
      </c>
      <c r="B213" s="126"/>
      <c r="C213" s="145" t="s">
        <v>114</v>
      </c>
      <c r="D213" s="93" t="str">
        <f>"("&amp;ROUND(B213/1000,3)&amp;" kWh)"</f>
        <v>(0 kWh)</v>
      </c>
      <c r="E213" s="493"/>
      <c r="F213" s="494"/>
    </row>
    <row r="214" spans="1:6" s="108" customFormat="1" ht="15" customHeight="1" hidden="1" outlineLevel="1">
      <c r="A214" s="119" t="s">
        <v>387</v>
      </c>
      <c r="B214" s="126"/>
      <c r="C214" s="145" t="s">
        <v>114</v>
      </c>
      <c r="D214" s="93" t="str">
        <f>"("&amp;ROUND(B214/1000,3)&amp;" kWh)"</f>
        <v>(0 kWh)</v>
      </c>
      <c r="E214" s="493"/>
      <c r="F214" s="494"/>
    </row>
    <row r="215" spans="1:6" s="108" customFormat="1" ht="15" customHeight="1" hidden="1" outlineLevel="1">
      <c r="A215" s="121" t="s">
        <v>402</v>
      </c>
      <c r="B215" s="126"/>
      <c r="C215" s="145"/>
      <c r="D215" s="146"/>
      <c r="E215" s="493"/>
      <c r="F215" s="494"/>
    </row>
    <row r="216" spans="1:6" s="108" customFormat="1" ht="15" customHeight="1" hidden="1" outlineLevel="1">
      <c r="A216" s="119" t="s">
        <v>399</v>
      </c>
      <c r="B216" s="126"/>
      <c r="C216" s="145" t="s">
        <v>114</v>
      </c>
      <c r="D216" s="93" t="str">
        <f>"("&amp;ROUND(B216/1000,3)&amp;" kWh)"</f>
        <v>(0 kWh)</v>
      </c>
      <c r="E216" s="493"/>
      <c r="F216" s="494"/>
    </row>
    <row r="217" spans="1:6" s="108" customFormat="1" ht="15" customHeight="1" hidden="1" outlineLevel="1">
      <c r="A217" s="143" t="s">
        <v>403</v>
      </c>
      <c r="B217" s="126"/>
      <c r="C217" s="145"/>
      <c r="D217" s="146"/>
      <c r="E217" s="493"/>
      <c r="F217" s="494"/>
    </row>
    <row r="218" spans="1:6" s="108" customFormat="1" ht="15" customHeight="1" hidden="1" outlineLevel="1">
      <c r="A218" s="119" t="s">
        <v>388</v>
      </c>
      <c r="B218" s="126"/>
      <c r="C218" s="145" t="s">
        <v>114</v>
      </c>
      <c r="D218" s="93" t="str">
        <f>"("&amp;ROUND(B218/1000,3)&amp;" kWh)"</f>
        <v>(0 kWh)</v>
      </c>
      <c r="E218" s="493"/>
      <c r="F218" s="494"/>
    </row>
    <row r="219" spans="1:6" s="108" customFormat="1" ht="15" customHeight="1" hidden="1" outlineLevel="1">
      <c r="A219" s="119" t="s">
        <v>389</v>
      </c>
      <c r="B219" s="126"/>
      <c r="C219" s="145" t="s">
        <v>114</v>
      </c>
      <c r="D219" s="93" t="str">
        <f>"("&amp;ROUND(B219/1000,3)&amp;" kWh)"</f>
        <v>(0 kWh)</v>
      </c>
      <c r="E219" s="493"/>
      <c r="F219" s="494"/>
    </row>
    <row r="220" spans="1:6" s="108" customFormat="1" ht="15" customHeight="1" hidden="1" outlineLevel="1">
      <c r="A220" s="143" t="s">
        <v>393</v>
      </c>
      <c r="B220" s="126"/>
      <c r="C220" s="145"/>
      <c r="D220" s="147"/>
      <c r="E220" s="493"/>
      <c r="F220" s="494"/>
    </row>
    <row r="221" spans="1:6" s="108" customFormat="1" ht="15" customHeight="1" hidden="1" outlineLevel="1">
      <c r="A221" s="119" t="s">
        <v>391</v>
      </c>
      <c r="B221" s="126"/>
      <c r="C221" s="145" t="s">
        <v>114</v>
      </c>
      <c r="D221" s="93" t="str">
        <f>"("&amp;ROUND(B221/1000,3)&amp;" kWh)"</f>
        <v>(0 kWh)</v>
      </c>
      <c r="E221" s="493"/>
      <c r="F221" s="494"/>
    </row>
    <row r="222" spans="1:6" s="108" customFormat="1" ht="15" customHeight="1" hidden="1" outlineLevel="1">
      <c r="A222" s="119" t="s">
        <v>390</v>
      </c>
      <c r="B222" s="126"/>
      <c r="C222" s="145" t="s">
        <v>114</v>
      </c>
      <c r="D222" s="93" t="str">
        <f>"("&amp;ROUND(B222/1000,3)&amp;" kWh)"</f>
        <v>(0 kWh)</v>
      </c>
      <c r="E222" s="493"/>
      <c r="F222" s="494"/>
    </row>
    <row r="223" spans="1:6" s="108" customFormat="1" ht="15" customHeight="1" hidden="1" outlineLevel="1">
      <c r="A223" s="121" t="s">
        <v>394</v>
      </c>
      <c r="B223" s="126"/>
      <c r="C223" s="148"/>
      <c r="D223" s="149"/>
      <c r="E223" s="493"/>
      <c r="F223" s="494"/>
    </row>
    <row r="224" spans="1:6" s="108" customFormat="1" ht="15" customHeight="1" hidden="1" outlineLevel="1">
      <c r="A224" s="119" t="s">
        <v>395</v>
      </c>
      <c r="B224" s="126"/>
      <c r="C224" s="118" t="s">
        <v>203</v>
      </c>
      <c r="D224" s="67" t="str">
        <f>"("&amp;ROUND(B224*100,3)&amp;" %)"</f>
        <v>(0 %)</v>
      </c>
      <c r="E224" s="493"/>
      <c r="F224" s="494"/>
    </row>
    <row r="225" spans="1:6" s="108" customFormat="1" ht="15" customHeight="1" hidden="1" outlineLevel="1">
      <c r="A225" s="119" t="s">
        <v>396</v>
      </c>
      <c r="B225" s="126"/>
      <c r="C225" s="118" t="s">
        <v>203</v>
      </c>
      <c r="D225" s="67" t="str">
        <f>"("&amp;ROUND(B225*100,3)&amp;" %)"</f>
        <v>(0 %)</v>
      </c>
      <c r="E225" s="500"/>
      <c r="F225" s="356"/>
    </row>
    <row r="226" spans="1:6" s="108" customFormat="1" ht="15" customHeight="1" hidden="1" outlineLevel="1" thickBot="1">
      <c r="A226" s="489"/>
      <c r="B226" s="611"/>
      <c r="C226" s="611"/>
      <c r="D226" s="611"/>
      <c r="E226" s="611"/>
      <c r="F226" s="612"/>
    </row>
    <row r="227" spans="1:6" s="108" customFormat="1" ht="15" customHeight="1" hidden="1" outlineLevel="1">
      <c r="A227" s="139" t="s">
        <v>44</v>
      </c>
      <c r="B227" s="140"/>
      <c r="C227" s="141"/>
      <c r="D227" s="141"/>
      <c r="E227" s="141"/>
      <c r="F227" s="142"/>
    </row>
    <row r="228" spans="1:6" s="108" customFormat="1" ht="15" customHeight="1" hidden="1" outlineLevel="1">
      <c r="A228" s="486"/>
      <c r="B228" s="487"/>
      <c r="C228" s="487"/>
      <c r="D228" s="487"/>
      <c r="E228" s="487"/>
      <c r="F228" s="488"/>
    </row>
    <row r="229" spans="1:6" s="108" customFormat="1" ht="15" customHeight="1" hidden="1" outlineLevel="1">
      <c r="A229" s="143" t="s">
        <v>392</v>
      </c>
      <c r="B229" s="144"/>
      <c r="C229" s="24"/>
      <c r="D229" s="24"/>
      <c r="E229" s="613"/>
      <c r="F229" s="492"/>
    </row>
    <row r="230" spans="1:6" s="108" customFormat="1" ht="15" customHeight="1" hidden="1" outlineLevel="1">
      <c r="A230" s="119" t="s">
        <v>385</v>
      </c>
      <c r="B230" s="126"/>
      <c r="C230" s="145" t="s">
        <v>114</v>
      </c>
      <c r="D230" s="93" t="str">
        <f>"("&amp;ROUND(B230/1000,3)&amp;" kWh)"</f>
        <v>(0 kWh)</v>
      </c>
      <c r="E230" s="493"/>
      <c r="F230" s="494"/>
    </row>
    <row r="231" spans="1:6" s="108" customFormat="1" ht="15" customHeight="1" hidden="1" outlineLevel="1">
      <c r="A231" s="119" t="s">
        <v>384</v>
      </c>
      <c r="B231" s="126"/>
      <c r="C231" s="145" t="s">
        <v>114</v>
      </c>
      <c r="D231" s="93" t="str">
        <f>"("&amp;ROUND(B231/1000,3)&amp;" kWh)"</f>
        <v>(0 kWh)</v>
      </c>
      <c r="E231" s="493"/>
      <c r="F231" s="494"/>
    </row>
    <row r="232" spans="1:6" s="108" customFormat="1" ht="15" customHeight="1" hidden="1" outlineLevel="1">
      <c r="A232" s="119" t="s">
        <v>386</v>
      </c>
      <c r="B232" s="126"/>
      <c r="C232" s="145" t="s">
        <v>114</v>
      </c>
      <c r="D232" s="93" t="str">
        <f>"("&amp;ROUND(B232/1000,3)&amp;" kWh)"</f>
        <v>(0 kWh)</v>
      </c>
      <c r="E232" s="493"/>
      <c r="F232" s="494"/>
    </row>
    <row r="233" spans="1:6" s="108" customFormat="1" ht="15" customHeight="1" hidden="1" outlineLevel="1">
      <c r="A233" s="119" t="s">
        <v>387</v>
      </c>
      <c r="B233" s="126"/>
      <c r="C233" s="145" t="s">
        <v>114</v>
      </c>
      <c r="D233" s="93" t="str">
        <f>"("&amp;ROUND(B233/1000,3)&amp;" kWh)"</f>
        <v>(0 kWh)</v>
      </c>
      <c r="E233" s="493"/>
      <c r="F233" s="494"/>
    </row>
    <row r="234" spans="1:6" s="108" customFormat="1" ht="15" customHeight="1" hidden="1" outlineLevel="1">
      <c r="A234" s="121" t="s">
        <v>402</v>
      </c>
      <c r="B234" s="126"/>
      <c r="C234" s="145"/>
      <c r="D234" s="146"/>
      <c r="E234" s="493"/>
      <c r="F234" s="494"/>
    </row>
    <row r="235" spans="1:6" s="108" customFormat="1" ht="15" customHeight="1" hidden="1" outlineLevel="1">
      <c r="A235" s="119" t="s">
        <v>399</v>
      </c>
      <c r="B235" s="126"/>
      <c r="C235" s="145" t="s">
        <v>114</v>
      </c>
      <c r="D235" s="93" t="str">
        <f>"("&amp;ROUND(B235/1000,3)&amp;" kWh)"</f>
        <v>(0 kWh)</v>
      </c>
      <c r="E235" s="493"/>
      <c r="F235" s="494"/>
    </row>
    <row r="236" spans="1:6" s="108" customFormat="1" ht="15" customHeight="1" hidden="1" outlineLevel="1">
      <c r="A236" s="143" t="s">
        <v>403</v>
      </c>
      <c r="B236" s="126"/>
      <c r="C236" s="145"/>
      <c r="D236" s="146"/>
      <c r="E236" s="493"/>
      <c r="F236" s="494"/>
    </row>
    <row r="237" spans="1:6" s="108" customFormat="1" ht="15" customHeight="1" hidden="1" outlineLevel="1">
      <c r="A237" s="119" t="s">
        <v>388</v>
      </c>
      <c r="B237" s="126"/>
      <c r="C237" s="145" t="s">
        <v>114</v>
      </c>
      <c r="D237" s="93" t="str">
        <f>"("&amp;ROUND(B237/1000,3)&amp;" kWh)"</f>
        <v>(0 kWh)</v>
      </c>
      <c r="E237" s="493"/>
      <c r="F237" s="494"/>
    </row>
    <row r="238" spans="1:6" s="108" customFormat="1" ht="15" customHeight="1" hidden="1" outlineLevel="1">
      <c r="A238" s="119" t="s">
        <v>389</v>
      </c>
      <c r="B238" s="126"/>
      <c r="C238" s="145" t="s">
        <v>114</v>
      </c>
      <c r="D238" s="93" t="str">
        <f>"("&amp;ROUND(B238/1000,3)&amp;" kWh)"</f>
        <v>(0 kWh)</v>
      </c>
      <c r="E238" s="493"/>
      <c r="F238" s="494"/>
    </row>
    <row r="239" spans="1:6" s="108" customFormat="1" ht="15" customHeight="1" hidden="1" outlineLevel="1">
      <c r="A239" s="143" t="s">
        <v>393</v>
      </c>
      <c r="B239" s="126"/>
      <c r="C239" s="145"/>
      <c r="D239" s="147"/>
      <c r="E239" s="493"/>
      <c r="F239" s="494"/>
    </row>
    <row r="240" spans="1:6" s="108" customFormat="1" ht="15" customHeight="1" hidden="1" outlineLevel="1">
      <c r="A240" s="119" t="s">
        <v>391</v>
      </c>
      <c r="B240" s="126"/>
      <c r="C240" s="145" t="s">
        <v>114</v>
      </c>
      <c r="D240" s="93" t="str">
        <f>"("&amp;ROUND(B240/1000,3)&amp;" kWh)"</f>
        <v>(0 kWh)</v>
      </c>
      <c r="E240" s="493"/>
      <c r="F240" s="494"/>
    </row>
    <row r="241" spans="1:6" s="108" customFormat="1" ht="15" customHeight="1" hidden="1" outlineLevel="1">
      <c r="A241" s="119" t="s">
        <v>390</v>
      </c>
      <c r="B241" s="126"/>
      <c r="C241" s="145" t="s">
        <v>114</v>
      </c>
      <c r="D241" s="93" t="str">
        <f>"("&amp;ROUND(B241/1000,3)&amp;" kWh)"</f>
        <v>(0 kWh)</v>
      </c>
      <c r="E241" s="493"/>
      <c r="F241" s="494"/>
    </row>
    <row r="242" spans="1:6" s="108" customFormat="1" ht="15" customHeight="1" hidden="1" outlineLevel="1">
      <c r="A242" s="121" t="s">
        <v>394</v>
      </c>
      <c r="B242" s="126"/>
      <c r="C242" s="148"/>
      <c r="D242" s="149"/>
      <c r="E242" s="493"/>
      <c r="F242" s="494"/>
    </row>
    <row r="243" spans="1:6" s="108" customFormat="1" ht="15" customHeight="1" hidden="1" outlineLevel="1">
      <c r="A243" s="119" t="s">
        <v>395</v>
      </c>
      <c r="B243" s="126"/>
      <c r="C243" s="118" t="s">
        <v>203</v>
      </c>
      <c r="D243" s="67" t="str">
        <f>"("&amp;ROUND(B243*100,3)&amp;" %)"</f>
        <v>(0 %)</v>
      </c>
      <c r="E243" s="493"/>
      <c r="F243" s="494"/>
    </row>
    <row r="244" spans="1:6" s="108" customFormat="1" ht="15" customHeight="1" hidden="1" outlineLevel="1">
      <c r="A244" s="119" t="s">
        <v>396</v>
      </c>
      <c r="B244" s="126"/>
      <c r="C244" s="118" t="s">
        <v>203</v>
      </c>
      <c r="D244" s="67" t="str">
        <f>"("&amp;ROUND(B244*100,3)&amp;" %)"</f>
        <v>(0 %)</v>
      </c>
      <c r="E244" s="500"/>
      <c r="F244" s="356"/>
    </row>
    <row r="245" spans="1:6" s="108" customFormat="1" ht="15" customHeight="1" hidden="1" outlineLevel="1" thickBot="1">
      <c r="A245" s="489"/>
      <c r="B245" s="611"/>
      <c r="C245" s="611"/>
      <c r="D245" s="611"/>
      <c r="E245" s="611"/>
      <c r="F245" s="612"/>
    </row>
    <row r="246" spans="1:6" s="108" customFormat="1" ht="15" customHeight="1" hidden="1" outlineLevel="1">
      <c r="A246" s="139" t="s">
        <v>9</v>
      </c>
      <c r="B246" s="140"/>
      <c r="C246" s="141"/>
      <c r="D246" s="141"/>
      <c r="E246" s="141"/>
      <c r="F246" s="142"/>
    </row>
    <row r="247" spans="1:6" s="108" customFormat="1" ht="15" customHeight="1" hidden="1" outlineLevel="1">
      <c r="A247" s="486"/>
      <c r="B247" s="487"/>
      <c r="C247" s="487"/>
      <c r="D247" s="487"/>
      <c r="E247" s="487"/>
      <c r="F247" s="488"/>
    </row>
    <row r="248" spans="1:6" s="108" customFormat="1" ht="15" customHeight="1" hidden="1" outlineLevel="1">
      <c r="A248" s="143" t="s">
        <v>392</v>
      </c>
      <c r="B248" s="144"/>
      <c r="C248" s="24"/>
      <c r="D248" s="24"/>
      <c r="E248" s="613"/>
      <c r="F248" s="492"/>
    </row>
    <row r="249" spans="1:6" s="108" customFormat="1" ht="15" customHeight="1" hidden="1" outlineLevel="1">
      <c r="A249" s="119" t="s">
        <v>385</v>
      </c>
      <c r="B249" s="126"/>
      <c r="C249" s="145" t="s">
        <v>114</v>
      </c>
      <c r="D249" s="93" t="str">
        <f>"("&amp;ROUND(B249/1000,3)&amp;" kWh)"</f>
        <v>(0 kWh)</v>
      </c>
      <c r="E249" s="493"/>
      <c r="F249" s="494"/>
    </row>
    <row r="250" spans="1:6" s="108" customFormat="1" ht="15" customHeight="1" hidden="1" outlineLevel="1">
      <c r="A250" s="119" t="s">
        <v>384</v>
      </c>
      <c r="B250" s="126"/>
      <c r="C250" s="145" t="s">
        <v>114</v>
      </c>
      <c r="D250" s="93" t="str">
        <f>"("&amp;ROUND(B250/1000,3)&amp;" kWh)"</f>
        <v>(0 kWh)</v>
      </c>
      <c r="E250" s="493"/>
      <c r="F250" s="494"/>
    </row>
    <row r="251" spans="1:6" s="108" customFormat="1" ht="15" customHeight="1" hidden="1" outlineLevel="1">
      <c r="A251" s="119" t="s">
        <v>386</v>
      </c>
      <c r="B251" s="126"/>
      <c r="C251" s="145" t="s">
        <v>114</v>
      </c>
      <c r="D251" s="93" t="str">
        <f>"("&amp;ROUND(B251/1000,3)&amp;" kWh)"</f>
        <v>(0 kWh)</v>
      </c>
      <c r="E251" s="493"/>
      <c r="F251" s="494"/>
    </row>
    <row r="252" spans="1:6" s="108" customFormat="1" ht="15" customHeight="1" hidden="1" outlineLevel="1">
      <c r="A252" s="119" t="s">
        <v>387</v>
      </c>
      <c r="B252" s="126"/>
      <c r="C252" s="145" t="s">
        <v>114</v>
      </c>
      <c r="D252" s="93" t="str">
        <f>"("&amp;ROUND(B252/1000,3)&amp;" kWh)"</f>
        <v>(0 kWh)</v>
      </c>
      <c r="E252" s="493"/>
      <c r="F252" s="494"/>
    </row>
    <row r="253" spans="1:6" s="108" customFormat="1" ht="15" customHeight="1" hidden="1" outlineLevel="1">
      <c r="A253" s="121" t="s">
        <v>402</v>
      </c>
      <c r="B253" s="126"/>
      <c r="C253" s="145"/>
      <c r="D253" s="146"/>
      <c r="E253" s="493"/>
      <c r="F253" s="494"/>
    </row>
    <row r="254" spans="1:6" s="108" customFormat="1" ht="15" customHeight="1" hidden="1" outlineLevel="1">
      <c r="A254" s="119" t="s">
        <v>399</v>
      </c>
      <c r="B254" s="126"/>
      <c r="C254" s="145" t="s">
        <v>114</v>
      </c>
      <c r="D254" s="93" t="str">
        <f>"("&amp;ROUND(B254/1000,3)&amp;" kWh)"</f>
        <v>(0 kWh)</v>
      </c>
      <c r="E254" s="493"/>
      <c r="F254" s="494"/>
    </row>
    <row r="255" spans="1:6" s="108" customFormat="1" ht="15" customHeight="1" hidden="1" outlineLevel="1">
      <c r="A255" s="143" t="s">
        <v>403</v>
      </c>
      <c r="B255" s="126"/>
      <c r="C255" s="145"/>
      <c r="D255" s="146"/>
      <c r="E255" s="493"/>
      <c r="F255" s="494"/>
    </row>
    <row r="256" spans="1:6" s="108" customFormat="1" ht="15" customHeight="1" hidden="1" outlineLevel="1">
      <c r="A256" s="119" t="s">
        <v>388</v>
      </c>
      <c r="B256" s="126"/>
      <c r="C256" s="145" t="s">
        <v>114</v>
      </c>
      <c r="D256" s="93" t="str">
        <f>"("&amp;ROUND(B256/1000,3)&amp;" kWh)"</f>
        <v>(0 kWh)</v>
      </c>
      <c r="E256" s="493"/>
      <c r="F256" s="494"/>
    </row>
    <row r="257" spans="1:6" s="108" customFormat="1" ht="15" customHeight="1" hidden="1" outlineLevel="1">
      <c r="A257" s="119" t="s">
        <v>389</v>
      </c>
      <c r="B257" s="126"/>
      <c r="C257" s="145" t="s">
        <v>114</v>
      </c>
      <c r="D257" s="93" t="str">
        <f>"("&amp;ROUND(B257/1000,3)&amp;" kWh)"</f>
        <v>(0 kWh)</v>
      </c>
      <c r="E257" s="493"/>
      <c r="F257" s="494"/>
    </row>
    <row r="258" spans="1:6" s="108" customFormat="1" ht="15" customHeight="1" hidden="1" outlineLevel="1">
      <c r="A258" s="143" t="s">
        <v>393</v>
      </c>
      <c r="B258" s="126"/>
      <c r="C258" s="145"/>
      <c r="D258" s="147"/>
      <c r="E258" s="493"/>
      <c r="F258" s="494"/>
    </row>
    <row r="259" spans="1:6" s="108" customFormat="1" ht="15" customHeight="1" hidden="1" outlineLevel="1">
      <c r="A259" s="119" t="s">
        <v>391</v>
      </c>
      <c r="B259" s="126"/>
      <c r="C259" s="145" t="s">
        <v>114</v>
      </c>
      <c r="D259" s="93" t="str">
        <f>"("&amp;ROUND(B259/1000,3)&amp;" kWh)"</f>
        <v>(0 kWh)</v>
      </c>
      <c r="E259" s="493"/>
      <c r="F259" s="494"/>
    </row>
    <row r="260" spans="1:6" s="108" customFormat="1" ht="15" customHeight="1" hidden="1" outlineLevel="1">
      <c r="A260" s="119" t="s">
        <v>390</v>
      </c>
      <c r="B260" s="126"/>
      <c r="C260" s="145" t="s">
        <v>114</v>
      </c>
      <c r="D260" s="93" t="str">
        <f>"("&amp;ROUND(B260/1000,3)&amp;" kWh)"</f>
        <v>(0 kWh)</v>
      </c>
      <c r="E260" s="493"/>
      <c r="F260" s="494"/>
    </row>
    <row r="261" spans="1:6" s="108" customFormat="1" ht="15" customHeight="1" hidden="1" outlineLevel="1">
      <c r="A261" s="121" t="s">
        <v>394</v>
      </c>
      <c r="B261" s="126"/>
      <c r="C261" s="148"/>
      <c r="D261" s="149"/>
      <c r="E261" s="493"/>
      <c r="F261" s="494"/>
    </row>
    <row r="262" spans="1:6" s="108" customFormat="1" ht="15" customHeight="1" hidden="1" outlineLevel="1">
      <c r="A262" s="119" t="s">
        <v>395</v>
      </c>
      <c r="B262" s="126"/>
      <c r="C262" s="118" t="s">
        <v>203</v>
      </c>
      <c r="D262" s="67" t="str">
        <f>"("&amp;ROUND(B262*100,3)&amp;" %)"</f>
        <v>(0 %)</v>
      </c>
      <c r="E262" s="493"/>
      <c r="F262" s="494"/>
    </row>
    <row r="263" spans="1:6" s="108" customFormat="1" ht="15" customHeight="1" hidden="1" outlineLevel="1">
      <c r="A263" s="119" t="s">
        <v>396</v>
      </c>
      <c r="B263" s="126"/>
      <c r="C263" s="118" t="s">
        <v>203</v>
      </c>
      <c r="D263" s="67" t="str">
        <f>"("&amp;ROUND(B263*100,3)&amp;" %)"</f>
        <v>(0 %)</v>
      </c>
      <c r="E263" s="500"/>
      <c r="F263" s="356"/>
    </row>
    <row r="264" spans="1:6" s="108" customFormat="1" ht="15" customHeight="1" collapsed="1" thickBot="1">
      <c r="A264" s="489"/>
      <c r="B264" s="611"/>
      <c r="C264" s="611"/>
      <c r="D264" s="611"/>
      <c r="E264" s="611"/>
      <c r="F264" s="612"/>
    </row>
    <row r="265" spans="1:6" s="108" customFormat="1" ht="19.5" customHeight="1">
      <c r="A265" s="615" t="s">
        <v>382</v>
      </c>
      <c r="B265" s="616"/>
      <c r="C265" s="616"/>
      <c r="D265" s="616"/>
      <c r="E265" s="616"/>
      <c r="F265" s="617"/>
    </row>
    <row r="266" spans="1:6" s="108" customFormat="1" ht="15" customHeight="1">
      <c r="A266" s="477"/>
      <c r="B266" s="478"/>
      <c r="C266" s="478"/>
      <c r="D266" s="478"/>
      <c r="E266" s="478"/>
      <c r="F266" s="485"/>
    </row>
    <row r="267" spans="1:6" s="108" customFormat="1" ht="15" customHeight="1">
      <c r="A267" s="614" t="s">
        <v>392</v>
      </c>
      <c r="B267" s="609"/>
      <c r="C267" s="609"/>
      <c r="D267" s="609"/>
      <c r="E267" s="478"/>
      <c r="F267" s="485"/>
    </row>
    <row r="268" spans="1:6" s="108" customFormat="1" ht="15" customHeight="1">
      <c r="A268" s="119" t="s">
        <v>385</v>
      </c>
      <c r="B268" s="39">
        <f>SUM(B40,B59,B78,B97,B116,B135,B154,B173,B192,B211,B230,B249)</f>
        <v>0</v>
      </c>
      <c r="C268" s="150" t="s">
        <v>114</v>
      </c>
      <c r="D268" s="110" t="str">
        <f>"("&amp;ROUND(B268/1000,3)&amp;" kWh)"</f>
        <v>(0 kWh)</v>
      </c>
      <c r="E268" s="491"/>
      <c r="F268" s="492"/>
    </row>
    <row r="269" spans="1:6" s="108" customFormat="1" ht="15" customHeight="1">
      <c r="A269" s="119" t="s">
        <v>384</v>
      </c>
      <c r="B269" s="39">
        <f>SUM(B41,B60,B79,B98,B117,B136,B155,B174,B193,B212,B231,B250)</f>
        <v>0</v>
      </c>
      <c r="C269" s="150" t="s">
        <v>114</v>
      </c>
      <c r="D269" s="110" t="str">
        <f>"("&amp;ROUND(B269/1000,3)&amp;" kWh)"</f>
        <v>(0 kWh)</v>
      </c>
      <c r="E269" s="493"/>
      <c r="F269" s="494"/>
    </row>
    <row r="270" spans="1:6" s="108" customFormat="1" ht="15" customHeight="1">
      <c r="A270" s="119" t="s">
        <v>386</v>
      </c>
      <c r="B270" s="39">
        <f>SUM(B42,B61,B80,B99,B118,B137,B156,B175,B194,B213,B232,B251)</f>
        <v>0</v>
      </c>
      <c r="C270" s="150" t="s">
        <v>114</v>
      </c>
      <c r="D270" s="110" t="str">
        <f>"("&amp;ROUND(B270/1000,3)&amp;" kWh)"</f>
        <v>(0 kWh)</v>
      </c>
      <c r="E270" s="493"/>
      <c r="F270" s="494"/>
    </row>
    <row r="271" spans="1:6" s="108" customFormat="1" ht="15" customHeight="1">
      <c r="A271" s="119" t="s">
        <v>387</v>
      </c>
      <c r="B271" s="39">
        <f>SUM(B43,B62,B81,B100,B119,B138,B157,B176,B195,B214,B233,B252)</f>
        <v>0</v>
      </c>
      <c r="C271" s="150" t="s">
        <v>114</v>
      </c>
      <c r="D271" s="110" t="str">
        <f>"("&amp;ROUND(B271/1000,3)&amp;" kWh)"</f>
        <v>(0 kWh)</v>
      </c>
      <c r="E271" s="500"/>
      <c r="F271" s="356"/>
    </row>
    <row r="272" spans="1:6" s="108" customFormat="1" ht="15" customHeight="1">
      <c r="A272" s="608" t="s">
        <v>402</v>
      </c>
      <c r="B272" s="609"/>
      <c r="C272" s="609"/>
      <c r="D272" s="609"/>
      <c r="E272" s="478"/>
      <c r="F272" s="485"/>
    </row>
    <row r="273" spans="1:6" s="108" customFormat="1" ht="15" customHeight="1">
      <c r="A273" s="119" t="s">
        <v>399</v>
      </c>
      <c r="B273" s="39">
        <f>SUM(B45,B64,B83,B102,B121,B140,B159,B178,B197,B216,B235,B254)</f>
        <v>0</v>
      </c>
      <c r="C273" s="150" t="s">
        <v>114</v>
      </c>
      <c r="D273" s="110" t="str">
        <f>"("&amp;ROUND(B273/1000,3)&amp;" kWh)"</f>
        <v>(0 kWh)</v>
      </c>
      <c r="E273" s="634"/>
      <c r="F273" s="488"/>
    </row>
    <row r="274" spans="1:6" s="108" customFormat="1" ht="15" customHeight="1">
      <c r="A274" s="614" t="s">
        <v>403</v>
      </c>
      <c r="B274" s="609"/>
      <c r="C274" s="609"/>
      <c r="D274" s="609"/>
      <c r="E274" s="478"/>
      <c r="F274" s="485"/>
    </row>
    <row r="275" spans="1:6" s="108" customFormat="1" ht="15" customHeight="1">
      <c r="A275" s="119" t="s">
        <v>388</v>
      </c>
      <c r="B275" s="39">
        <f>SUM(B47,B66,B85,B104,B123,B142,B161,B180,B199,B218,B237,B256)</f>
        <v>0</v>
      </c>
      <c r="C275" s="150" t="s">
        <v>114</v>
      </c>
      <c r="D275" s="110" t="str">
        <f>"("&amp;ROUND(B275/1000,3)&amp;" kWh)"</f>
        <v>(0 kWh)</v>
      </c>
      <c r="E275" s="491"/>
      <c r="F275" s="492"/>
    </row>
    <row r="276" spans="1:8" s="108" customFormat="1" ht="15" customHeight="1">
      <c r="A276" s="119" t="s">
        <v>389</v>
      </c>
      <c r="B276" s="39">
        <f>SUM(B48,B67,B86,B105,B124,B143,B162,B181,B200,B219,B238,B257)</f>
        <v>0</v>
      </c>
      <c r="C276" s="150" t="s">
        <v>114</v>
      </c>
      <c r="D276" s="110" t="str">
        <f>"("&amp;ROUND(B276/1000,3)&amp;" kWh)"</f>
        <v>(0 kWh)</v>
      </c>
      <c r="E276" s="500"/>
      <c r="F276" s="356"/>
      <c r="H276" s="151"/>
    </row>
    <row r="277" spans="1:8" s="108" customFormat="1" ht="15" customHeight="1">
      <c r="A277" s="614" t="s">
        <v>393</v>
      </c>
      <c r="B277" s="609"/>
      <c r="C277" s="609"/>
      <c r="D277" s="609"/>
      <c r="E277" s="478"/>
      <c r="F277" s="485"/>
      <c r="H277" s="151"/>
    </row>
    <row r="278" spans="1:6" s="108" customFormat="1" ht="15" customHeight="1">
      <c r="A278" s="119" t="s">
        <v>391</v>
      </c>
      <c r="B278" s="39">
        <f>SUM(B50,B69,B88,B107,B126,B145,B202,B221,B240,B259)</f>
        <v>0</v>
      </c>
      <c r="C278" s="150" t="s">
        <v>114</v>
      </c>
      <c r="D278" s="110" t="str">
        <f>"("&amp;ROUND(B278/1000,3)&amp;" kWh)"</f>
        <v>(0 kWh)</v>
      </c>
      <c r="E278" s="491"/>
      <c r="F278" s="492"/>
    </row>
    <row r="279" spans="1:6" s="108" customFormat="1" ht="15" customHeight="1">
      <c r="A279" s="119" t="s">
        <v>390</v>
      </c>
      <c r="B279" s="39">
        <f>SUM(B51,B70,B89,B108,B127,B146,B165,B184,B203,B222,B241,B260)</f>
        <v>0</v>
      </c>
      <c r="C279" s="150" t="s">
        <v>114</v>
      </c>
      <c r="D279" s="110" t="str">
        <f>"("&amp;ROUND(B279/1000,3)&amp;" kWh)"</f>
        <v>(0 kWh)</v>
      </c>
      <c r="E279" s="500"/>
      <c r="F279" s="356"/>
    </row>
    <row r="280" spans="1:6" s="108" customFormat="1" ht="15" customHeight="1">
      <c r="A280" s="608" t="s">
        <v>407</v>
      </c>
      <c r="B280" s="609"/>
      <c r="C280" s="609"/>
      <c r="D280" s="609"/>
      <c r="E280" s="478"/>
      <c r="F280" s="485"/>
    </row>
    <row r="281" spans="1:6" s="108" customFormat="1" ht="15" customHeight="1">
      <c r="A281" s="119" t="s">
        <v>395</v>
      </c>
      <c r="B281" s="39">
        <f>IF(B275&lt;&gt;0,B275/(B275+B278),0)</f>
        <v>0</v>
      </c>
      <c r="C281" s="129" t="s">
        <v>203</v>
      </c>
      <c r="D281" s="110" t="str">
        <f>"("&amp;ROUND(B281*100,3)&amp;" %)"</f>
        <v>(0 %)</v>
      </c>
      <c r="E281" s="491"/>
      <c r="F281" s="492"/>
    </row>
    <row r="282" spans="1:6" s="108" customFormat="1" ht="15" customHeight="1">
      <c r="A282" s="119" t="s">
        <v>396</v>
      </c>
      <c r="B282" s="39">
        <f>IF(B276&lt;&gt;0,B276/(B276+B279),0)</f>
        <v>0</v>
      </c>
      <c r="C282" s="129" t="s">
        <v>203</v>
      </c>
      <c r="D282" s="110" t="str">
        <f>"("&amp;ROUND(B282*100,3)&amp;" %)"</f>
        <v>(0 %)</v>
      </c>
      <c r="E282" s="500"/>
      <c r="F282" s="356"/>
    </row>
    <row r="283" spans="1:6" s="108" customFormat="1" ht="15.75">
      <c r="A283" s="608" t="str">
        <f>"Combustible"&amp;IF(A12&lt;&gt;""," ("&amp;A12&amp;") ","")</f>
        <v>Combustible</v>
      </c>
      <c r="B283" s="609"/>
      <c r="C283" s="609"/>
      <c r="D283" s="609"/>
      <c r="E283" s="478"/>
      <c r="F283" s="485"/>
    </row>
    <row r="284" spans="1:6" s="108" customFormat="1" ht="15" customHeight="1">
      <c r="A284" s="610" t="s">
        <v>413</v>
      </c>
      <c r="B284" s="606"/>
      <c r="C284" s="606"/>
      <c r="D284" s="606"/>
      <c r="E284" s="606"/>
      <c r="F284" s="607"/>
    </row>
    <row r="285" spans="1:6" s="108" customFormat="1" ht="15" customHeight="1">
      <c r="A285" s="119" t="s">
        <v>409</v>
      </c>
      <c r="B285" s="39">
        <f>IF($A$12&lt;&gt;"",(B275/1000)/IF(AND($D$12=0,$D$12=""),IF($A$12="Gaz naturel",10.53,IF($A$12="Gaz propane",25.7,IF($A$12="Fioul",10.25))),D12),0)</f>
        <v>0</v>
      </c>
      <c r="C285" s="46">
        <f>IF(OR($A$12="Gaz naturel",$A$12="Gaz propane"),"m3",IF($A$12="Fioul","litres",""))</f>
      </c>
      <c r="D285" s="39">
        <f>B285*$D$13</f>
        <v>0</v>
      </c>
      <c r="E285" s="46" t="s">
        <v>398</v>
      </c>
      <c r="F285" s="47" t="str">
        <f>"("&amp;(ROUND(D285*6.55957,2))&amp;" F)"</f>
        <v>(0 F)</v>
      </c>
    </row>
    <row r="286" spans="1:6" s="108" customFormat="1" ht="15" customHeight="1">
      <c r="A286" s="119" t="s">
        <v>419</v>
      </c>
      <c r="B286" s="39">
        <f>IF($A$12&lt;&gt;"",(B278/1000)/IF(AND($D$12=0,$D$12=""),IF($A$12="Gaz naturel",10.53,IF($A$12="Gaz propane",25.7,IF($A$12="Fioul",10.25))),D13),0)</f>
        <v>0</v>
      </c>
      <c r="C286" s="46">
        <f aca="true" t="shared" si="0" ref="C286:C295">IF(OR($A$12="Gaz naturel",$A$12="Gaz propane"),"m3",IF($A$12="Fioul","litres",""))</f>
      </c>
      <c r="D286" s="39">
        <f>B289*$D$13</f>
        <v>0</v>
      </c>
      <c r="E286" s="46" t="s">
        <v>398</v>
      </c>
      <c r="F286" s="47" t="str">
        <f aca="true" t="shared" si="1" ref="F286:F294">"("&amp;(ROUND(D286*6.55957,2))&amp;" F)"</f>
        <v>(0 F)</v>
      </c>
    </row>
    <row r="287" spans="1:6" s="108" customFormat="1" ht="15" customHeight="1">
      <c r="A287" s="119" t="s">
        <v>412</v>
      </c>
      <c r="B287" s="39">
        <f>B285+B286</f>
        <v>0</v>
      </c>
      <c r="C287" s="46">
        <f t="shared" si="0"/>
      </c>
      <c r="D287" s="39">
        <f>B290*$D$13</f>
        <v>0</v>
      </c>
      <c r="E287" s="46" t="s">
        <v>398</v>
      </c>
      <c r="F287" s="47" t="str">
        <f t="shared" si="1"/>
        <v>(0 F)</v>
      </c>
    </row>
    <row r="288" spans="1:6" s="108" customFormat="1" ht="15" customHeight="1">
      <c r="A288" s="610" t="s">
        <v>414</v>
      </c>
      <c r="B288" s="606"/>
      <c r="C288" s="606"/>
      <c r="D288" s="606"/>
      <c r="E288" s="606"/>
      <c r="F288" s="607"/>
    </row>
    <row r="289" spans="1:6" s="108" customFormat="1" ht="15" customHeight="1">
      <c r="A289" s="119" t="s">
        <v>410</v>
      </c>
      <c r="B289" s="39">
        <f>IF($A$12&lt;&gt;"",(B276/1000)/IF(AND($D$12=0,$D$12=""),IF($A$12="Gaz naturel",10.53,IF($A$12="Gaz propane",25.7,IF($A$12="Fioul",10.25))),D13),0)</f>
        <v>0</v>
      </c>
      <c r="C289" s="46">
        <f>IF(OR($A$12="Gaz naturel",$A$12="Gaz propane"),"m3",IF($A$12="Fioul","litres",""))</f>
      </c>
      <c r="D289" s="39">
        <f>B291*$D$13</f>
        <v>0</v>
      </c>
      <c r="E289" s="46" t="s">
        <v>398</v>
      </c>
      <c r="F289" s="47" t="str">
        <f t="shared" si="1"/>
        <v>(0 F)</v>
      </c>
    </row>
    <row r="290" spans="1:6" s="108" customFormat="1" ht="15" customHeight="1">
      <c r="A290" s="119" t="s">
        <v>418</v>
      </c>
      <c r="B290" s="39">
        <f>IF($A$12&lt;&gt;"",(B279/1000)/IF(AND($D$12=0,$D$12=""),IF($A$12="Gaz naturel",10.53,IF($A$12="Gaz propane",25.7,IF($A$12="Fioul",10.25))),D13),0)</f>
        <v>0</v>
      </c>
      <c r="C290" s="46">
        <f t="shared" si="0"/>
      </c>
      <c r="D290" s="39">
        <f>B290*$D$13</f>
        <v>0</v>
      </c>
      <c r="E290" s="46" t="s">
        <v>398</v>
      </c>
      <c r="F290" s="47" t="str">
        <f t="shared" si="1"/>
        <v>(0 F)</v>
      </c>
    </row>
    <row r="291" spans="1:6" s="108" customFormat="1" ht="15" customHeight="1">
      <c r="A291" s="119" t="s">
        <v>411</v>
      </c>
      <c r="B291" s="39">
        <f>B289+B290</f>
        <v>0</v>
      </c>
      <c r="C291" s="46">
        <f>IF(OR($A$12="Gaz naturel",$A$12="Gaz propane"),"m3",IF($A$12="Fioul","litres",""))</f>
      </c>
      <c r="D291" s="39">
        <f>B291*$D$13</f>
        <v>0</v>
      </c>
      <c r="E291" s="46" t="s">
        <v>398</v>
      </c>
      <c r="F291" s="47" t="str">
        <f t="shared" si="1"/>
        <v>(0 F)</v>
      </c>
    </row>
    <row r="292" spans="1:6" s="108" customFormat="1" ht="15" customHeight="1">
      <c r="A292" s="605" t="s">
        <v>415</v>
      </c>
      <c r="B292" s="606"/>
      <c r="C292" s="606"/>
      <c r="D292" s="606"/>
      <c r="E292" s="606"/>
      <c r="F292" s="607"/>
    </row>
    <row r="293" spans="1:6" s="108" customFormat="1" ht="15" customHeight="1">
      <c r="A293" s="119" t="s">
        <v>417</v>
      </c>
      <c r="B293" s="39">
        <f>B285+B289</f>
        <v>0</v>
      </c>
      <c r="C293" s="46">
        <f>IF(OR($A$12="Gaz naturel",$A$12="Gaz propane"),"m3",IF($A$12="Fioul","litres",""))</f>
      </c>
      <c r="D293" s="39">
        <f>B290*$D$13</f>
        <v>0</v>
      </c>
      <c r="E293" s="46" t="s">
        <v>398</v>
      </c>
      <c r="F293" s="47" t="str">
        <f t="shared" si="1"/>
        <v>(0 F)</v>
      </c>
    </row>
    <row r="294" spans="1:6" s="108" customFormat="1" ht="15" customHeight="1">
      <c r="A294" s="119" t="s">
        <v>416</v>
      </c>
      <c r="B294" s="39">
        <f>B286+B290</f>
        <v>0</v>
      </c>
      <c r="C294" s="46">
        <f t="shared" si="0"/>
      </c>
      <c r="D294" s="39">
        <f>B294*$D$13</f>
        <v>0</v>
      </c>
      <c r="E294" s="46" t="s">
        <v>398</v>
      </c>
      <c r="F294" s="47" t="str">
        <f t="shared" si="1"/>
        <v>(0 F)</v>
      </c>
    </row>
    <row r="295" spans="1:6" s="108" customFormat="1" ht="18" customHeight="1" thickBot="1">
      <c r="A295" s="245" t="s">
        <v>437</v>
      </c>
      <c r="B295" s="242">
        <f>B293+B294</f>
        <v>0</v>
      </c>
      <c r="C295" s="243">
        <f t="shared" si="0"/>
      </c>
      <c r="D295" s="242">
        <f>B295*$D$13</f>
        <v>0</v>
      </c>
      <c r="E295" s="243" t="s">
        <v>398</v>
      </c>
      <c r="F295" s="244" t="str">
        <f>"("&amp;(ROUND(D295*6.55957,2))&amp;" F)"</f>
        <v>(0 F)</v>
      </c>
    </row>
    <row r="296" s="253" customFormat="1" ht="12.75"/>
    <row r="297" s="253" customFormat="1" ht="12.75"/>
  </sheetData>
  <mergeCells count="84">
    <mergeCell ref="E268:F271"/>
    <mergeCell ref="E273:F273"/>
    <mergeCell ref="E275:F276"/>
    <mergeCell ref="E278:F279"/>
    <mergeCell ref="A30:C30"/>
    <mergeCell ref="A31:F31"/>
    <mergeCell ref="A34:F34"/>
    <mergeCell ref="A267:F267"/>
    <mergeCell ref="A74:F74"/>
    <mergeCell ref="A76:F76"/>
    <mergeCell ref="E77:F92"/>
    <mergeCell ref="A55:F55"/>
    <mergeCell ref="E39:F54"/>
    <mergeCell ref="A32:F33"/>
    <mergeCell ref="A17:C17"/>
    <mergeCell ref="A18:C18"/>
    <mergeCell ref="E58:F73"/>
    <mergeCell ref="A19:C19"/>
    <mergeCell ref="A57:F57"/>
    <mergeCell ref="A36:F36"/>
    <mergeCell ref="A24:C24"/>
    <mergeCell ref="A26:C26"/>
    <mergeCell ref="A35:F35"/>
    <mergeCell ref="A27:C27"/>
    <mergeCell ref="A9:C9"/>
    <mergeCell ref="B12:C12"/>
    <mergeCell ref="A4:C4"/>
    <mergeCell ref="F4:F10"/>
    <mergeCell ref="A1:F1"/>
    <mergeCell ref="A2:F2"/>
    <mergeCell ref="A6:C6"/>
    <mergeCell ref="A5:C5"/>
    <mergeCell ref="A3:F3"/>
    <mergeCell ref="A21:C21"/>
    <mergeCell ref="A23:C23"/>
    <mergeCell ref="A8:C8"/>
    <mergeCell ref="A7:C7"/>
    <mergeCell ref="A13:C13"/>
    <mergeCell ref="A10:C10"/>
    <mergeCell ref="A14:F14"/>
    <mergeCell ref="A16:C16"/>
    <mergeCell ref="A11:F11"/>
    <mergeCell ref="F12:F13"/>
    <mergeCell ref="A29:C29"/>
    <mergeCell ref="A245:F245"/>
    <mergeCell ref="A247:F247"/>
    <mergeCell ref="E172:F187"/>
    <mergeCell ref="A188:F188"/>
    <mergeCell ref="A169:F169"/>
    <mergeCell ref="A171:F171"/>
    <mergeCell ref="A112:F112"/>
    <mergeCell ref="A38:F38"/>
    <mergeCell ref="E191:F206"/>
    <mergeCell ref="A207:F207"/>
    <mergeCell ref="A209:F209"/>
    <mergeCell ref="A266:F266"/>
    <mergeCell ref="A265:F265"/>
    <mergeCell ref="A264:F264"/>
    <mergeCell ref="E210:F225"/>
    <mergeCell ref="A226:F226"/>
    <mergeCell ref="A228:F228"/>
    <mergeCell ref="E229:F244"/>
    <mergeCell ref="E248:F263"/>
    <mergeCell ref="E134:F149"/>
    <mergeCell ref="A150:F150"/>
    <mergeCell ref="A152:F152"/>
    <mergeCell ref="E153:F168"/>
    <mergeCell ref="A93:F93"/>
    <mergeCell ref="A95:F95"/>
    <mergeCell ref="E96:F111"/>
    <mergeCell ref="A277:F277"/>
    <mergeCell ref="A274:F274"/>
    <mergeCell ref="A190:F190"/>
    <mergeCell ref="A114:F114"/>
    <mergeCell ref="E115:F130"/>
    <mergeCell ref="A131:F131"/>
    <mergeCell ref="A133:F133"/>
    <mergeCell ref="A292:F292"/>
    <mergeCell ref="A272:F272"/>
    <mergeCell ref="A283:F283"/>
    <mergeCell ref="A284:F284"/>
    <mergeCell ref="A288:F288"/>
    <mergeCell ref="E281:F282"/>
    <mergeCell ref="A280:F280"/>
  </mergeCells>
  <dataValidations count="1">
    <dataValidation type="list" allowBlank="1" showInputMessage="1" showErrorMessage="1" sqref="A12">
      <formula1>"Fioul,Gaz naturel,Gaz propane"</formula1>
    </dataValidation>
  </dataValidations>
  <printOptions/>
  <pageMargins left="0.7874015748031497" right="0.7874015748031497" top="0.984251968503937" bottom="0.984251968503937" header="0.5118110236220472" footer="0.5118110236220472"/>
  <pageSetup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16"/>
  <dimension ref="A1:E13"/>
  <sheetViews>
    <sheetView workbookViewId="0" topLeftCell="A1">
      <selection activeCell="G6" sqref="G6"/>
    </sheetView>
  </sheetViews>
  <sheetFormatPr defaultColWidth="11.421875" defaultRowHeight="12.75"/>
  <cols>
    <col min="2" max="2" width="13.57421875" style="0" bestFit="1" customWidth="1"/>
    <col min="3" max="3" width="17.00390625" style="0" bestFit="1" customWidth="1"/>
    <col min="4" max="4" width="18.140625" style="0" bestFit="1" customWidth="1"/>
    <col min="5" max="5" width="12.421875" style="0" bestFit="1" customWidth="1"/>
  </cols>
  <sheetData>
    <row r="1" spans="1:5" ht="12.75">
      <c r="A1" s="254" t="s">
        <v>495</v>
      </c>
      <c r="B1" s="255" t="s">
        <v>496</v>
      </c>
      <c r="C1" s="255" t="s">
        <v>497</v>
      </c>
      <c r="D1" s="255" t="s">
        <v>498</v>
      </c>
      <c r="E1" s="260" t="s">
        <v>499</v>
      </c>
    </row>
    <row r="2" spans="1:5" ht="12.75">
      <c r="A2" s="256" t="s">
        <v>34</v>
      </c>
      <c r="B2" s="257">
        <f>SUM('Résultats (13)'!B40:B43)/1000</f>
        <v>0</v>
      </c>
      <c r="C2" s="257">
        <f>'Résultats (13)'!B47/1000</f>
        <v>0</v>
      </c>
      <c r="D2" s="257">
        <f>'Résultats (13)'!B48/1000</f>
        <v>0</v>
      </c>
      <c r="E2" s="261">
        <f>SUM('Résultats (13)'!B50:B51)/1000</f>
        <v>0</v>
      </c>
    </row>
    <row r="3" spans="1:5" ht="12.75">
      <c r="A3" s="256" t="s">
        <v>35</v>
      </c>
      <c r="B3" s="257">
        <f>SUM('Résultats (13)'!B59:B62)/1000</f>
        <v>0</v>
      </c>
      <c r="C3" s="257">
        <f>'Résultats (13)'!B66/1000</f>
        <v>0</v>
      </c>
      <c r="D3" s="257">
        <f>'Résultats (13)'!B67/1000</f>
        <v>0</v>
      </c>
      <c r="E3" s="261">
        <f>SUM('Résultats (13)'!B69:B70)/1000</f>
        <v>0</v>
      </c>
    </row>
    <row r="4" spans="1:5" ht="12.75">
      <c r="A4" s="256" t="s">
        <v>36</v>
      </c>
      <c r="B4" s="257">
        <f>SUM('Résultats (13)'!B78:B81)/1000</f>
        <v>0</v>
      </c>
      <c r="C4" s="257">
        <f>'Résultats (13)'!B85/1000</f>
        <v>0</v>
      </c>
      <c r="D4" s="257">
        <f>'Résultats (13)'!B86/1000</f>
        <v>0</v>
      </c>
      <c r="E4" s="261">
        <f>SUM('Résultats (13)'!B88:B89)/1000</f>
        <v>0</v>
      </c>
    </row>
    <row r="5" spans="1:5" ht="12.75">
      <c r="A5" s="256" t="s">
        <v>37</v>
      </c>
      <c r="B5" s="257">
        <f>SUM('Résultats (13)'!B97:B100)/1000</f>
        <v>0</v>
      </c>
      <c r="C5" s="257">
        <f>'Résultats (13)'!B104/1000</f>
        <v>0</v>
      </c>
      <c r="D5" s="257">
        <f>'Résultats (13)'!B105/1000</f>
        <v>0</v>
      </c>
      <c r="E5" s="261">
        <f>SUM('Résultats (13)'!B107:B108)/1000</f>
        <v>0</v>
      </c>
    </row>
    <row r="6" spans="1:5" ht="12.75">
      <c r="A6" s="256" t="s">
        <v>38</v>
      </c>
      <c r="B6" s="257">
        <f>SUM('Résultats (13)'!B116:B119)/1000</f>
        <v>0</v>
      </c>
      <c r="C6" s="257">
        <f>'Résultats (13)'!B123/1000</f>
        <v>0</v>
      </c>
      <c r="D6" s="257">
        <f>'Résultats (13)'!B124/1000</f>
        <v>0</v>
      </c>
      <c r="E6" s="261">
        <f>SUM('Résultats (13)'!B126:B127)/1000</f>
        <v>0</v>
      </c>
    </row>
    <row r="7" spans="1:5" ht="12.75">
      <c r="A7" s="256" t="s">
        <v>39</v>
      </c>
      <c r="B7" s="257">
        <f>SUM('Résultats (13)'!B135:B138)/1000</f>
        <v>0</v>
      </c>
      <c r="C7" s="257">
        <f>'Résultats (13)'!B142/1000</f>
        <v>0</v>
      </c>
      <c r="D7" s="257">
        <f>'Résultats (13)'!B143/1000</f>
        <v>0</v>
      </c>
      <c r="E7" s="261">
        <f>SUM('Résultats (13)'!B145:B146)/1000</f>
        <v>0</v>
      </c>
    </row>
    <row r="8" spans="1:5" ht="12.75">
      <c r="A8" s="256" t="s">
        <v>40</v>
      </c>
      <c r="B8" s="257">
        <f>SUM('Résultats (13)'!B154:B157)/1000</f>
        <v>0</v>
      </c>
      <c r="C8" s="257">
        <f>'Résultats (13)'!B161/1000</f>
        <v>0</v>
      </c>
      <c r="D8" s="257">
        <f>'Résultats (13)'!B162/1000</f>
        <v>0</v>
      </c>
      <c r="E8" s="261">
        <f>SUM('Résultats (13)'!B164:B165)/1000</f>
        <v>0</v>
      </c>
    </row>
    <row r="9" spans="1:5" ht="12.75">
      <c r="A9" s="256" t="s">
        <v>41</v>
      </c>
      <c r="B9" s="257">
        <f>SUM('Résultats (13)'!B173:B176)/1000</f>
        <v>0</v>
      </c>
      <c r="C9" s="257">
        <f>'Résultats (13)'!B180/1000</f>
        <v>0</v>
      </c>
      <c r="D9" s="257">
        <f>'Résultats (13)'!B181/1000</f>
        <v>0</v>
      </c>
      <c r="E9" s="261">
        <f>SUM('Résultats (13)'!B183:B184)/1000</f>
        <v>0</v>
      </c>
    </row>
    <row r="10" spans="1:5" ht="12.75">
      <c r="A10" s="256" t="s">
        <v>42</v>
      </c>
      <c r="B10" s="257">
        <f>SUM('Résultats (13)'!B192:B195)/1000</f>
        <v>0</v>
      </c>
      <c r="C10" s="257">
        <f>'Résultats (13)'!B199/1000</f>
        <v>0</v>
      </c>
      <c r="D10" s="257">
        <f>'Résultats (13)'!B200/1000</f>
        <v>0</v>
      </c>
      <c r="E10" s="261">
        <f>SUM('Résultats (13)'!B202:B203)/1000</f>
        <v>0</v>
      </c>
    </row>
    <row r="11" spans="1:5" ht="12.75">
      <c r="A11" s="256" t="s">
        <v>43</v>
      </c>
      <c r="B11" s="257">
        <f>SUM('Résultats (13)'!B211:B214)/1000</f>
        <v>0</v>
      </c>
      <c r="C11" s="257">
        <f>'Résultats (13)'!B218/1000</f>
        <v>0</v>
      </c>
      <c r="D11" s="257">
        <f>'Résultats (13)'!B219/1000</f>
        <v>0</v>
      </c>
      <c r="E11" s="261">
        <f>SUM('Résultats (13)'!B221:B222)/1000</f>
        <v>0</v>
      </c>
    </row>
    <row r="12" spans="1:5" ht="12.75">
      <c r="A12" s="256" t="s">
        <v>44</v>
      </c>
      <c r="B12" s="257">
        <f>SUM('Résultats (13)'!B230:B233)/1000</f>
        <v>0</v>
      </c>
      <c r="C12" s="257">
        <f>'Résultats (13)'!B237/1000</f>
        <v>0</v>
      </c>
      <c r="D12" s="257">
        <f>'Résultats (13)'!B238/1000</f>
        <v>0</v>
      </c>
      <c r="E12" s="261">
        <f>SUM('Résultats (13)'!B240:B241)/1000</f>
        <v>0</v>
      </c>
    </row>
    <row r="13" spans="1:5" ht="13.5" thickBot="1">
      <c r="A13" s="258" t="s">
        <v>9</v>
      </c>
      <c r="B13" s="259">
        <f>SUM('Résultats (13)'!B249:B252)/1000</f>
        <v>0</v>
      </c>
      <c r="C13" s="259">
        <f>'Résultats (13)'!B256/1000</f>
        <v>0</v>
      </c>
      <c r="D13" s="259">
        <f>'Résultats (13)'!B257/1000</f>
        <v>0</v>
      </c>
      <c r="E13" s="262">
        <f>SUM('Résultats (13)'!B259:B260)/1000</f>
        <v>0</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5"/>
  <dimension ref="A1:M90"/>
  <sheetViews>
    <sheetView workbookViewId="0" topLeftCell="A1">
      <selection activeCell="H87" sqref="H87"/>
    </sheetView>
  </sheetViews>
  <sheetFormatPr defaultColWidth="11.421875" defaultRowHeight="12.75"/>
  <cols>
    <col min="1" max="1" width="19.421875" style="0" customWidth="1"/>
  </cols>
  <sheetData>
    <row r="1" spans="1:13" ht="12.75">
      <c r="A1" s="635" t="s">
        <v>501</v>
      </c>
      <c r="B1" s="636"/>
      <c r="C1" s="636"/>
      <c r="D1" s="636"/>
      <c r="E1" s="636"/>
      <c r="F1" s="636"/>
      <c r="G1" s="636"/>
      <c r="H1" s="636"/>
      <c r="I1" s="636"/>
      <c r="J1" s="636"/>
      <c r="K1" s="636"/>
      <c r="L1" s="636"/>
      <c r="M1" s="637"/>
    </row>
    <row r="2" spans="1:13" ht="12.75">
      <c r="A2" s="308">
        <f>'Logement (1)'!D3</f>
        <v>0</v>
      </c>
      <c r="B2" s="4" t="s">
        <v>34</v>
      </c>
      <c r="C2" s="4" t="s">
        <v>35</v>
      </c>
      <c r="D2" s="4" t="s">
        <v>36</v>
      </c>
      <c r="E2" s="4" t="s">
        <v>37</v>
      </c>
      <c r="F2" s="4" t="s">
        <v>38</v>
      </c>
      <c r="G2" s="4" t="s">
        <v>39</v>
      </c>
      <c r="H2" s="4" t="s">
        <v>40</v>
      </c>
      <c r="I2" s="4" t="s">
        <v>41</v>
      </c>
      <c r="J2" s="4" t="s">
        <v>42</v>
      </c>
      <c r="K2" s="4" t="s">
        <v>43</v>
      </c>
      <c r="L2" s="4" t="s">
        <v>44</v>
      </c>
      <c r="M2" s="246" t="s">
        <v>9</v>
      </c>
    </row>
    <row r="3" spans="1:13" ht="12.75">
      <c r="A3" s="477"/>
      <c r="B3" s="4" t="e">
        <f>INDEX($B$32:$M$90,MATCH($A$2,$A$32:$A$90,0),MATCH(B2,$B$31:$M$31,0))</f>
        <v>#N/A</v>
      </c>
      <c r="C3" s="4" t="e">
        <f>INDEX($B$32:$M$90,MATCH($A$2,$A$32:$A$90,0),MATCH(C2,$B$31:$M$31,0))</f>
        <v>#N/A</v>
      </c>
      <c r="D3" s="4" t="e">
        <f aca="true" t="shared" si="0" ref="D3:M3">INDEX($B$32:$M$90,MATCH($A$2,$A$32:$A$90,0),MATCH(D2,$B$31:$M$31,0))</f>
        <v>#N/A</v>
      </c>
      <c r="E3" s="4" t="e">
        <f t="shared" si="0"/>
        <v>#N/A</v>
      </c>
      <c r="F3" s="4" t="e">
        <f t="shared" si="0"/>
        <v>#N/A</v>
      </c>
      <c r="G3" s="4" t="e">
        <f t="shared" si="0"/>
        <v>#N/A</v>
      </c>
      <c r="H3" s="4" t="e">
        <f t="shared" si="0"/>
        <v>#N/A</v>
      </c>
      <c r="I3" s="4" t="e">
        <f t="shared" si="0"/>
        <v>#N/A</v>
      </c>
      <c r="J3" s="4" t="e">
        <f t="shared" si="0"/>
        <v>#N/A</v>
      </c>
      <c r="K3" s="4" t="e">
        <f t="shared" si="0"/>
        <v>#N/A</v>
      </c>
      <c r="L3" s="4" t="e">
        <f t="shared" si="0"/>
        <v>#N/A</v>
      </c>
      <c r="M3" s="246" t="e">
        <f t="shared" si="0"/>
        <v>#N/A</v>
      </c>
    </row>
    <row r="4" spans="1:13" ht="13.5" thickBot="1">
      <c r="A4" s="475"/>
      <c r="B4" s="247">
        <v>31</v>
      </c>
      <c r="C4" s="247">
        <v>28</v>
      </c>
      <c r="D4" s="247">
        <v>31</v>
      </c>
      <c r="E4" s="247">
        <v>30</v>
      </c>
      <c r="F4" s="247">
        <v>31</v>
      </c>
      <c r="G4" s="247">
        <v>30</v>
      </c>
      <c r="H4" s="247">
        <v>31</v>
      </c>
      <c r="I4" s="247">
        <v>31</v>
      </c>
      <c r="J4" s="247">
        <v>30</v>
      </c>
      <c r="K4" s="247">
        <v>31</v>
      </c>
      <c r="L4" s="247">
        <v>30</v>
      </c>
      <c r="M4" s="248">
        <v>31</v>
      </c>
    </row>
    <row r="5" ht="13.5" thickBot="1"/>
    <row r="6" spans="1:13" ht="12.75">
      <c r="A6" s="638" t="s">
        <v>82</v>
      </c>
      <c r="B6" s="639"/>
      <c r="C6" s="639"/>
      <c r="D6" s="639"/>
      <c r="E6" s="639"/>
      <c r="F6" s="639"/>
      <c r="G6" s="639"/>
      <c r="H6" s="639"/>
      <c r="I6" s="639"/>
      <c r="J6" s="639"/>
      <c r="K6" s="639"/>
      <c r="L6" s="639"/>
      <c r="M6" s="640"/>
    </row>
    <row r="7" spans="1:13" ht="12.75">
      <c r="A7" s="116"/>
      <c r="B7" s="1" t="s">
        <v>34</v>
      </c>
      <c r="C7" s="1" t="s">
        <v>35</v>
      </c>
      <c r="D7" s="1" t="s">
        <v>36</v>
      </c>
      <c r="E7" s="1" t="s">
        <v>37</v>
      </c>
      <c r="F7" s="1" t="s">
        <v>38</v>
      </c>
      <c r="G7" s="1" t="s">
        <v>39</v>
      </c>
      <c r="H7" s="1" t="s">
        <v>40</v>
      </c>
      <c r="I7" s="1" t="s">
        <v>41</v>
      </c>
      <c r="J7" s="1" t="s">
        <v>42</v>
      </c>
      <c r="K7" s="1" t="s">
        <v>43</v>
      </c>
      <c r="L7" s="1" t="s">
        <v>44</v>
      </c>
      <c r="M7" s="249" t="s">
        <v>9</v>
      </c>
    </row>
    <row r="8" spans="1:13" ht="12.75">
      <c r="A8" s="116" t="s">
        <v>80</v>
      </c>
      <c r="B8" s="1">
        <v>5.7</v>
      </c>
      <c r="C8" s="1">
        <v>5.7</v>
      </c>
      <c r="D8" s="1">
        <v>7</v>
      </c>
      <c r="E8" s="1">
        <v>9.2</v>
      </c>
      <c r="F8" s="1">
        <v>11.8</v>
      </c>
      <c r="G8" s="1">
        <v>14</v>
      </c>
      <c r="H8" s="1">
        <v>15.3</v>
      </c>
      <c r="I8" s="1">
        <v>15.3</v>
      </c>
      <c r="J8" s="1">
        <v>14</v>
      </c>
      <c r="K8" s="1">
        <v>11.8</v>
      </c>
      <c r="L8" s="1">
        <v>9.2</v>
      </c>
      <c r="M8" s="249">
        <v>7</v>
      </c>
    </row>
    <row r="9" spans="1:13" ht="12.75">
      <c r="A9" s="116" t="s">
        <v>2</v>
      </c>
      <c r="B9" s="1">
        <v>7.2</v>
      </c>
      <c r="C9" s="1">
        <v>7.2</v>
      </c>
      <c r="D9" s="1">
        <v>8.5</v>
      </c>
      <c r="E9" s="1">
        <v>10.7</v>
      </c>
      <c r="F9" s="1">
        <v>13.3</v>
      </c>
      <c r="G9" s="1">
        <v>15.5</v>
      </c>
      <c r="H9" s="1">
        <v>16.8</v>
      </c>
      <c r="I9" s="1">
        <v>16.8</v>
      </c>
      <c r="J9" s="1">
        <v>15.5</v>
      </c>
      <c r="K9" s="1">
        <v>13.3</v>
      </c>
      <c r="L9" s="1">
        <v>10.7</v>
      </c>
      <c r="M9" s="249">
        <v>8.5</v>
      </c>
    </row>
    <row r="10" spans="1:13" ht="13.5" thickBot="1">
      <c r="A10" s="117" t="s">
        <v>81</v>
      </c>
      <c r="B10" s="114">
        <v>9.7</v>
      </c>
      <c r="C10" s="114">
        <v>9.7</v>
      </c>
      <c r="D10" s="114">
        <v>11</v>
      </c>
      <c r="E10" s="114">
        <v>13.2</v>
      </c>
      <c r="F10" s="114">
        <v>15.8</v>
      </c>
      <c r="G10" s="114">
        <v>18</v>
      </c>
      <c r="H10" s="114">
        <v>19.3</v>
      </c>
      <c r="I10" s="114">
        <v>19.3</v>
      </c>
      <c r="J10" s="114">
        <v>18</v>
      </c>
      <c r="K10" s="114">
        <v>15.8</v>
      </c>
      <c r="L10" s="114">
        <v>13.2</v>
      </c>
      <c r="M10" s="250">
        <v>11</v>
      </c>
    </row>
    <row r="11" ht="13.5" thickBot="1"/>
    <row r="12" spans="1:13" ht="12.75">
      <c r="A12" s="635" t="s">
        <v>261</v>
      </c>
      <c r="B12" s="636"/>
      <c r="C12" s="636"/>
      <c r="D12" s="636"/>
      <c r="E12" s="636"/>
      <c r="F12" s="636"/>
      <c r="G12" s="636"/>
      <c r="H12" s="636"/>
      <c r="I12" s="636"/>
      <c r="J12" s="636"/>
      <c r="K12" s="636"/>
      <c r="L12" s="636"/>
      <c r="M12" s="637"/>
    </row>
    <row r="13" spans="1:13" ht="12.75">
      <c r="A13" s="235"/>
      <c r="B13" s="4" t="s">
        <v>34</v>
      </c>
      <c r="C13" s="4" t="s">
        <v>35</v>
      </c>
      <c r="D13" s="4" t="s">
        <v>36</v>
      </c>
      <c r="E13" s="4" t="s">
        <v>37</v>
      </c>
      <c r="F13" s="4" t="s">
        <v>38</v>
      </c>
      <c r="G13" s="4" t="s">
        <v>39</v>
      </c>
      <c r="H13" s="4" t="s">
        <v>40</v>
      </c>
      <c r="I13" s="4" t="s">
        <v>41</v>
      </c>
      <c r="J13" s="4" t="s">
        <v>42</v>
      </c>
      <c r="K13" s="4" t="s">
        <v>43</v>
      </c>
      <c r="L13" s="4" t="s">
        <v>44</v>
      </c>
      <c r="M13" s="246" t="s">
        <v>9</v>
      </c>
    </row>
    <row r="14" spans="1:13" ht="12.75">
      <c r="A14" s="235" t="s">
        <v>54</v>
      </c>
      <c r="B14" s="4">
        <v>18.4</v>
      </c>
      <c r="C14" s="4">
        <v>30.9</v>
      </c>
      <c r="D14" s="4">
        <v>46.7</v>
      </c>
      <c r="E14" s="4">
        <v>60</v>
      </c>
      <c r="F14" s="4">
        <v>75.7</v>
      </c>
      <c r="G14" s="4">
        <v>86.5</v>
      </c>
      <c r="H14" s="4">
        <v>86.1</v>
      </c>
      <c r="I14" s="4">
        <v>71.2</v>
      </c>
      <c r="J14" s="4">
        <v>55.7</v>
      </c>
      <c r="K14" s="4">
        <v>35.5</v>
      </c>
      <c r="L14" s="4">
        <v>18.6</v>
      </c>
      <c r="M14" s="246">
        <v>14.8</v>
      </c>
    </row>
    <row r="15" spans="1:13" ht="12.75">
      <c r="A15" s="235" t="s">
        <v>55</v>
      </c>
      <c r="B15" s="4">
        <v>25</v>
      </c>
      <c r="C15" s="4">
        <v>42.6</v>
      </c>
      <c r="D15" s="4">
        <v>71</v>
      </c>
      <c r="E15" s="4">
        <v>83.8</v>
      </c>
      <c r="F15" s="4">
        <v>101.7</v>
      </c>
      <c r="G15" s="4">
        <v>116.8</v>
      </c>
      <c r="H15" s="4">
        <v>136.5</v>
      </c>
      <c r="I15" s="4">
        <v>119.8</v>
      </c>
      <c r="J15" s="4">
        <v>85.5</v>
      </c>
      <c r="K15" s="4">
        <v>47.7</v>
      </c>
      <c r="L15" s="4">
        <v>21.7</v>
      </c>
      <c r="M15" s="246">
        <v>19.8</v>
      </c>
    </row>
    <row r="16" spans="1:13" ht="12.75">
      <c r="A16" s="235" t="s">
        <v>56</v>
      </c>
      <c r="B16" s="4">
        <v>44.3</v>
      </c>
      <c r="C16" s="4">
        <v>76.2</v>
      </c>
      <c r="D16" s="4">
        <v>99.5</v>
      </c>
      <c r="E16" s="4">
        <v>94.1</v>
      </c>
      <c r="F16" s="4">
        <v>99.4</v>
      </c>
      <c r="G16" s="4">
        <v>107.4</v>
      </c>
      <c r="H16" s="4">
        <v>123.5</v>
      </c>
      <c r="I16" s="4">
        <v>127.9</v>
      </c>
      <c r="J16" s="4">
        <v>117.6</v>
      </c>
      <c r="K16" s="4">
        <v>81.6</v>
      </c>
      <c r="L16" s="4">
        <v>40.2</v>
      </c>
      <c r="M16" s="246">
        <v>37.9</v>
      </c>
    </row>
    <row r="17" spans="1:13" ht="12.75">
      <c r="A17" s="235" t="s">
        <v>57</v>
      </c>
      <c r="B17" s="4">
        <v>23.4</v>
      </c>
      <c r="C17" s="4">
        <v>46.4</v>
      </c>
      <c r="D17" s="4">
        <v>72.4</v>
      </c>
      <c r="E17" s="4">
        <v>80.2</v>
      </c>
      <c r="F17" s="4">
        <v>97.4</v>
      </c>
      <c r="G17" s="4">
        <v>116.8</v>
      </c>
      <c r="H17" s="4">
        <v>129</v>
      </c>
      <c r="I17" s="4">
        <v>116.4</v>
      </c>
      <c r="J17" s="4">
        <v>82.3</v>
      </c>
      <c r="K17" s="4">
        <v>52.5</v>
      </c>
      <c r="L17" s="4">
        <v>26.3</v>
      </c>
      <c r="M17" s="246">
        <v>19.6</v>
      </c>
    </row>
    <row r="18" spans="1:13" ht="12.75">
      <c r="A18" s="235" t="s">
        <v>53</v>
      </c>
      <c r="B18" s="4">
        <v>38.9</v>
      </c>
      <c r="C18" s="4">
        <v>72.6</v>
      </c>
      <c r="D18" s="4">
        <v>114.3</v>
      </c>
      <c r="E18" s="4">
        <v>144.7</v>
      </c>
      <c r="F18" s="4">
        <v>177.2</v>
      </c>
      <c r="G18" s="4">
        <v>209.9</v>
      </c>
      <c r="H18" s="4">
        <v>242.9</v>
      </c>
      <c r="I18" s="4">
        <v>208.5</v>
      </c>
      <c r="J18" s="4">
        <v>144.1</v>
      </c>
      <c r="K18" s="4">
        <v>83.7</v>
      </c>
      <c r="L18" s="4">
        <v>38.4</v>
      </c>
      <c r="M18" s="246">
        <v>30.8</v>
      </c>
    </row>
    <row r="19" spans="1:13" ht="12.75">
      <c r="A19" s="235" t="s">
        <v>58</v>
      </c>
      <c r="B19" s="4">
        <v>21.8</v>
      </c>
      <c r="C19" s="4">
        <v>32.4</v>
      </c>
      <c r="D19" s="4">
        <v>49.3</v>
      </c>
      <c r="E19" s="4">
        <v>66</v>
      </c>
      <c r="F19" s="4">
        <v>78.6</v>
      </c>
      <c r="G19" s="4">
        <v>90</v>
      </c>
      <c r="H19" s="4">
        <v>88</v>
      </c>
      <c r="I19" s="4">
        <v>74.1</v>
      </c>
      <c r="J19" s="4">
        <v>58.3</v>
      </c>
      <c r="K19" s="4">
        <v>37.8</v>
      </c>
      <c r="L19" s="4">
        <v>27.2</v>
      </c>
      <c r="M19" s="246">
        <v>16.8</v>
      </c>
    </row>
    <row r="20" spans="1:13" ht="12.75">
      <c r="A20" s="235" t="s">
        <v>59</v>
      </c>
      <c r="B20" s="4">
        <v>37</v>
      </c>
      <c r="C20" s="4">
        <v>55.9</v>
      </c>
      <c r="D20" s="4">
        <v>80.4</v>
      </c>
      <c r="E20" s="4">
        <v>102.4</v>
      </c>
      <c r="F20" s="4">
        <v>106.5</v>
      </c>
      <c r="G20" s="4">
        <v>129.6</v>
      </c>
      <c r="H20" s="4">
        <v>135.9</v>
      </c>
      <c r="I20" s="4">
        <v>134</v>
      </c>
      <c r="J20" s="4">
        <v>83.9</v>
      </c>
      <c r="K20" s="4">
        <v>51.6</v>
      </c>
      <c r="L20" s="4">
        <v>41.7</v>
      </c>
      <c r="M20" s="246">
        <v>24.7</v>
      </c>
    </row>
    <row r="21" spans="1:13" ht="12.75">
      <c r="A21" s="235" t="s">
        <v>60</v>
      </c>
      <c r="B21" s="4">
        <v>84.5</v>
      </c>
      <c r="C21" s="4">
        <v>109.2</v>
      </c>
      <c r="D21" s="4">
        <v>104.1</v>
      </c>
      <c r="E21" s="4">
        <v>117</v>
      </c>
      <c r="F21" s="4">
        <v>108.7</v>
      </c>
      <c r="G21" s="4">
        <v>115.3</v>
      </c>
      <c r="H21" s="4">
        <v>124</v>
      </c>
      <c r="I21" s="4">
        <v>139.1</v>
      </c>
      <c r="J21" s="4">
        <v>119</v>
      </c>
      <c r="K21" s="4">
        <v>82.9</v>
      </c>
      <c r="L21" s="4">
        <v>82.1</v>
      </c>
      <c r="M21" s="246">
        <v>58.9</v>
      </c>
    </row>
    <row r="22" spans="1:13" ht="12.75">
      <c r="A22" s="235" t="s">
        <v>61</v>
      </c>
      <c r="B22" s="4">
        <v>37.8</v>
      </c>
      <c r="C22" s="4">
        <v>59.3</v>
      </c>
      <c r="D22" s="4">
        <v>74.5</v>
      </c>
      <c r="E22" s="4">
        <v>102.9</v>
      </c>
      <c r="F22" s="4">
        <v>114.8</v>
      </c>
      <c r="G22" s="4">
        <v>135.2</v>
      </c>
      <c r="H22" s="4">
        <v>148.5</v>
      </c>
      <c r="I22" s="4">
        <v>133.7</v>
      </c>
      <c r="J22" s="4">
        <v>88.6</v>
      </c>
      <c r="K22" s="4">
        <v>52.6</v>
      </c>
      <c r="L22" s="4">
        <v>42.1</v>
      </c>
      <c r="M22" s="246">
        <v>30</v>
      </c>
    </row>
    <row r="23" spans="1:13" ht="12.75">
      <c r="A23" s="235" t="s">
        <v>52</v>
      </c>
      <c r="B23" s="4">
        <v>57.7</v>
      </c>
      <c r="C23" s="4">
        <v>90.4</v>
      </c>
      <c r="D23" s="4">
        <v>123.7</v>
      </c>
      <c r="E23" s="4">
        <v>179.5</v>
      </c>
      <c r="F23" s="4">
        <v>203.4</v>
      </c>
      <c r="G23" s="4">
        <v>243.8</v>
      </c>
      <c r="H23" s="4">
        <v>257.9</v>
      </c>
      <c r="I23" s="4">
        <v>227</v>
      </c>
      <c r="J23" s="4">
        <v>154.1</v>
      </c>
      <c r="K23" s="4">
        <v>88.4</v>
      </c>
      <c r="L23" s="4">
        <v>64.7</v>
      </c>
      <c r="M23" s="246">
        <v>40.3</v>
      </c>
    </row>
    <row r="24" spans="1:13" ht="12.75">
      <c r="A24" s="235" t="s">
        <v>62</v>
      </c>
      <c r="B24" s="4">
        <v>23.3</v>
      </c>
      <c r="C24" s="4">
        <v>31.2</v>
      </c>
      <c r="D24" s="4">
        <v>49.2</v>
      </c>
      <c r="E24" s="4">
        <v>69.5</v>
      </c>
      <c r="F24" s="4">
        <v>83.1</v>
      </c>
      <c r="G24" s="4">
        <v>90.6</v>
      </c>
      <c r="H24" s="4">
        <v>86.7</v>
      </c>
      <c r="I24" s="4">
        <v>72.3</v>
      </c>
      <c r="J24" s="4">
        <v>60.4</v>
      </c>
      <c r="K24" s="4">
        <v>41.1</v>
      </c>
      <c r="L24" s="4">
        <v>29.9</v>
      </c>
      <c r="M24" s="246">
        <v>22</v>
      </c>
    </row>
    <row r="25" spans="1:13" ht="12.75">
      <c r="A25" s="235" t="s">
        <v>63</v>
      </c>
      <c r="B25" s="4">
        <v>39.3</v>
      </c>
      <c r="C25" s="4">
        <v>42.2</v>
      </c>
      <c r="D25" s="4">
        <v>94.5</v>
      </c>
      <c r="E25" s="4">
        <v>119.5</v>
      </c>
      <c r="F25" s="4">
        <v>143</v>
      </c>
      <c r="G25" s="4">
        <v>141.4</v>
      </c>
      <c r="H25" s="4">
        <v>156</v>
      </c>
      <c r="I25" s="4">
        <v>132.8</v>
      </c>
      <c r="J25" s="4">
        <v>101.4</v>
      </c>
      <c r="K25" s="4">
        <v>71.9</v>
      </c>
      <c r="L25" s="4">
        <v>59.8</v>
      </c>
      <c r="M25" s="246">
        <v>39.7</v>
      </c>
    </row>
    <row r="26" spans="1:13" ht="12.75">
      <c r="A26" s="235" t="s">
        <v>64</v>
      </c>
      <c r="B26" s="4">
        <v>82.2</v>
      </c>
      <c r="C26" s="4">
        <v>71.3</v>
      </c>
      <c r="D26" s="4">
        <v>130.1</v>
      </c>
      <c r="E26" s="4">
        <v>133.4</v>
      </c>
      <c r="F26" s="4">
        <v>138</v>
      </c>
      <c r="G26" s="4">
        <v>122.8</v>
      </c>
      <c r="H26" s="4">
        <v>136.6</v>
      </c>
      <c r="I26" s="4">
        <v>135.4</v>
      </c>
      <c r="J26" s="4">
        <v>139.2</v>
      </c>
      <c r="K26" s="4">
        <v>132.8</v>
      </c>
      <c r="L26" s="4">
        <v>141.8</v>
      </c>
      <c r="M26" s="246">
        <v>109.8</v>
      </c>
    </row>
    <row r="27" spans="1:13" ht="12.75">
      <c r="A27" s="235" t="s">
        <v>65</v>
      </c>
      <c r="B27" s="4">
        <v>39.4</v>
      </c>
      <c r="C27" s="4">
        <v>42.7</v>
      </c>
      <c r="D27" s="4">
        <v>86.4</v>
      </c>
      <c r="E27" s="4">
        <v>106.3</v>
      </c>
      <c r="F27" s="4">
        <v>140.6</v>
      </c>
      <c r="G27" s="4">
        <v>140.5</v>
      </c>
      <c r="H27" s="4">
        <v>146.6</v>
      </c>
      <c r="I27" s="4">
        <v>115.3</v>
      </c>
      <c r="J27" s="4">
        <v>92.3</v>
      </c>
      <c r="K27" s="4">
        <v>70.3</v>
      </c>
      <c r="L27" s="4">
        <v>61.2</v>
      </c>
      <c r="M27" s="246">
        <v>44.4</v>
      </c>
    </row>
    <row r="28" spans="1:13" ht="13.5" thickBot="1">
      <c r="A28" s="237" t="s">
        <v>51</v>
      </c>
      <c r="B28" s="238">
        <v>59.2</v>
      </c>
      <c r="C28" s="238">
        <v>72.5</v>
      </c>
      <c r="D28" s="238">
        <v>146.6</v>
      </c>
      <c r="E28" s="238">
        <v>203.3</v>
      </c>
      <c r="F28" s="238">
        <v>272.2</v>
      </c>
      <c r="G28" s="238">
        <v>268.6</v>
      </c>
      <c r="H28" s="238">
        <v>290.4</v>
      </c>
      <c r="I28" s="238">
        <v>226.8</v>
      </c>
      <c r="J28" s="238">
        <v>175.1</v>
      </c>
      <c r="K28" s="238">
        <v>120.8</v>
      </c>
      <c r="L28" s="238">
        <v>90.7</v>
      </c>
      <c r="M28" s="251">
        <v>63.9</v>
      </c>
    </row>
    <row r="29" ht="13.5" thickBot="1"/>
    <row r="30" spans="1:13" ht="12.75">
      <c r="A30" s="635" t="s">
        <v>500</v>
      </c>
      <c r="B30" s="636"/>
      <c r="C30" s="636"/>
      <c r="D30" s="636"/>
      <c r="E30" s="636"/>
      <c r="F30" s="636"/>
      <c r="G30" s="636"/>
      <c r="H30" s="636"/>
      <c r="I30" s="636"/>
      <c r="J30" s="636"/>
      <c r="K30" s="636"/>
      <c r="L30" s="636"/>
      <c r="M30" s="637"/>
    </row>
    <row r="31" spans="1:13" ht="12.75">
      <c r="A31" s="263" t="s">
        <v>438</v>
      </c>
      <c r="B31" s="264" t="s">
        <v>34</v>
      </c>
      <c r="C31" s="264" t="s">
        <v>35</v>
      </c>
      <c r="D31" s="264" t="s">
        <v>36</v>
      </c>
      <c r="E31" s="264" t="s">
        <v>37</v>
      </c>
      <c r="F31" s="264" t="s">
        <v>38</v>
      </c>
      <c r="G31" s="264" t="s">
        <v>39</v>
      </c>
      <c r="H31" s="264" t="s">
        <v>40</v>
      </c>
      <c r="I31" s="264" t="s">
        <v>41</v>
      </c>
      <c r="J31" s="264" t="s">
        <v>42</v>
      </c>
      <c r="K31" s="264" t="s">
        <v>43</v>
      </c>
      <c r="L31" s="264" t="s">
        <v>44</v>
      </c>
      <c r="M31" s="265" t="s">
        <v>9</v>
      </c>
    </row>
    <row r="32" spans="1:13" ht="12.75">
      <c r="A32" s="116" t="s">
        <v>439</v>
      </c>
      <c r="B32" s="1">
        <v>4.4</v>
      </c>
      <c r="C32" s="1">
        <v>6.2</v>
      </c>
      <c r="D32" s="1">
        <v>8.6</v>
      </c>
      <c r="E32" s="1">
        <v>11.4</v>
      </c>
      <c r="F32" s="1">
        <v>15.2</v>
      </c>
      <c r="G32" s="1">
        <v>18.5</v>
      </c>
      <c r="H32" s="1">
        <v>20.7</v>
      </c>
      <c r="I32" s="1">
        <v>20.6</v>
      </c>
      <c r="J32" s="1">
        <v>18.3</v>
      </c>
      <c r="K32" s="1">
        <v>13.5</v>
      </c>
      <c r="L32" s="1">
        <v>8.5</v>
      </c>
      <c r="M32" s="249">
        <v>5.8</v>
      </c>
    </row>
    <row r="33" spans="1:13" ht="12.75">
      <c r="A33" s="116" t="s">
        <v>440</v>
      </c>
      <c r="B33" s="1">
        <v>7.7</v>
      </c>
      <c r="C33" s="1">
        <v>8.7</v>
      </c>
      <c r="D33" s="1">
        <v>10.5</v>
      </c>
      <c r="E33" s="1">
        <v>12.6</v>
      </c>
      <c r="F33" s="1">
        <v>15.9</v>
      </c>
      <c r="G33" s="1">
        <v>19.8</v>
      </c>
      <c r="H33" s="1">
        <v>22</v>
      </c>
      <c r="I33" s="1">
        <v>22.2</v>
      </c>
      <c r="J33" s="1">
        <v>20.3</v>
      </c>
      <c r="K33" s="1">
        <v>16.3</v>
      </c>
      <c r="L33" s="1">
        <v>11.8</v>
      </c>
      <c r="M33" s="249">
        <v>8.7</v>
      </c>
    </row>
    <row r="34" spans="1:13" ht="12.75">
      <c r="A34" s="116" t="s">
        <v>441</v>
      </c>
      <c r="B34" s="1">
        <v>2.2</v>
      </c>
      <c r="C34" s="1">
        <v>3</v>
      </c>
      <c r="D34" s="1">
        <v>6.5</v>
      </c>
      <c r="E34" s="1">
        <v>9.4</v>
      </c>
      <c r="F34" s="1">
        <v>12.9</v>
      </c>
      <c r="G34" s="1">
        <v>16.5</v>
      </c>
      <c r="H34" s="1">
        <v>18.8</v>
      </c>
      <c r="I34" s="1">
        <v>17.9</v>
      </c>
      <c r="J34" s="1">
        <v>15</v>
      </c>
      <c r="K34" s="1">
        <v>10.1</v>
      </c>
      <c r="L34" s="1">
        <v>5.5</v>
      </c>
      <c r="M34" s="249">
        <v>2.7</v>
      </c>
    </row>
    <row r="35" spans="1:13" ht="12.75">
      <c r="A35" s="116" t="s">
        <v>442</v>
      </c>
      <c r="B35" s="1">
        <v>4.8</v>
      </c>
      <c r="C35" s="1">
        <v>4.9</v>
      </c>
      <c r="D35" s="1">
        <v>7.9</v>
      </c>
      <c r="E35" s="1">
        <v>10.4</v>
      </c>
      <c r="F35" s="1">
        <v>13.6</v>
      </c>
      <c r="G35" s="1">
        <v>17</v>
      </c>
      <c r="H35" s="1">
        <v>18.7</v>
      </c>
      <c r="I35" s="1">
        <v>18.4</v>
      </c>
      <c r="J35" s="1">
        <v>16.1</v>
      </c>
      <c r="K35" s="1">
        <v>11.7</v>
      </c>
      <c r="L35" s="1">
        <v>7.6</v>
      </c>
      <c r="M35" s="249">
        <v>4.9</v>
      </c>
    </row>
    <row r="36" spans="1:13" ht="12.75">
      <c r="A36" s="116" t="s">
        <v>443</v>
      </c>
      <c r="B36" s="1">
        <v>4.6</v>
      </c>
      <c r="C36" s="1">
        <v>5.4</v>
      </c>
      <c r="D36" s="1">
        <v>8.9</v>
      </c>
      <c r="E36" s="1">
        <v>11.3</v>
      </c>
      <c r="F36" s="1">
        <v>14.5</v>
      </c>
      <c r="G36" s="1">
        <v>17.8</v>
      </c>
      <c r="H36" s="1">
        <v>19.5</v>
      </c>
      <c r="I36" s="1">
        <v>19.4</v>
      </c>
      <c r="J36" s="1">
        <v>16.9</v>
      </c>
      <c r="K36" s="1">
        <v>12.5</v>
      </c>
      <c r="L36" s="1">
        <v>8.1</v>
      </c>
      <c r="M36" s="249">
        <v>5.3</v>
      </c>
    </row>
    <row r="37" spans="1:13" ht="12.75">
      <c r="A37" s="116" t="s">
        <v>444</v>
      </c>
      <c r="B37" s="1">
        <v>1.8</v>
      </c>
      <c r="C37" s="1">
        <v>2.6</v>
      </c>
      <c r="D37" s="1">
        <v>6.2</v>
      </c>
      <c r="E37" s="1">
        <v>9.2</v>
      </c>
      <c r="F37" s="1">
        <v>12.4</v>
      </c>
      <c r="G37" s="1">
        <v>16.2</v>
      </c>
      <c r="H37" s="1">
        <v>17.7</v>
      </c>
      <c r="I37" s="1">
        <v>17.9</v>
      </c>
      <c r="J37" s="1">
        <v>15</v>
      </c>
      <c r="K37" s="1">
        <v>9.9</v>
      </c>
      <c r="L37" s="1">
        <v>5</v>
      </c>
      <c r="M37" s="249">
        <v>1.9</v>
      </c>
    </row>
    <row r="38" spans="1:13" ht="12.75">
      <c r="A38" s="116" t="s">
        <v>445</v>
      </c>
      <c r="B38" s="1">
        <v>8.8</v>
      </c>
      <c r="C38" s="1">
        <v>9</v>
      </c>
      <c r="D38" s="1">
        <v>10.5</v>
      </c>
      <c r="E38" s="1">
        <v>11</v>
      </c>
      <c r="F38" s="1">
        <v>15.2</v>
      </c>
      <c r="G38" s="1">
        <v>19</v>
      </c>
      <c r="H38" s="1">
        <v>21</v>
      </c>
      <c r="I38" s="1">
        <v>20.8</v>
      </c>
      <c r="J38" s="1">
        <v>19.8</v>
      </c>
      <c r="K38" s="1">
        <v>16.6</v>
      </c>
      <c r="L38" s="1">
        <v>12.2</v>
      </c>
      <c r="M38" s="249">
        <v>9</v>
      </c>
    </row>
    <row r="39" spans="1:13" ht="12.75">
      <c r="A39" s="116" t="s">
        <v>446</v>
      </c>
      <c r="B39" s="1">
        <v>1.1</v>
      </c>
      <c r="C39" s="1">
        <v>2.2</v>
      </c>
      <c r="D39" s="1">
        <v>6.4</v>
      </c>
      <c r="E39" s="1">
        <v>9.7</v>
      </c>
      <c r="F39" s="1">
        <v>13.6</v>
      </c>
      <c r="G39" s="1">
        <v>16.9</v>
      </c>
      <c r="H39" s="1">
        <v>18.7</v>
      </c>
      <c r="I39" s="1">
        <v>18.3</v>
      </c>
      <c r="J39" s="1">
        <v>15.5</v>
      </c>
      <c r="K39" s="1">
        <v>10.4</v>
      </c>
      <c r="L39" s="1">
        <v>5.7</v>
      </c>
      <c r="M39" s="249">
        <v>2</v>
      </c>
    </row>
    <row r="40" spans="1:13" ht="12.75">
      <c r="A40" s="116" t="s">
        <v>447</v>
      </c>
      <c r="B40" s="1">
        <v>7.6</v>
      </c>
      <c r="C40" s="1">
        <v>8</v>
      </c>
      <c r="D40" s="1">
        <v>10.8</v>
      </c>
      <c r="E40" s="1">
        <v>12</v>
      </c>
      <c r="F40" s="1">
        <v>14.7</v>
      </c>
      <c r="G40" s="1">
        <v>17.8</v>
      </c>
      <c r="H40" s="1">
        <v>19.7</v>
      </c>
      <c r="I40" s="1">
        <v>19.9</v>
      </c>
      <c r="J40" s="1">
        <v>18.5</v>
      </c>
      <c r="K40" s="1">
        <v>14.8</v>
      </c>
      <c r="L40" s="1">
        <v>10.9</v>
      </c>
      <c r="M40" s="249">
        <v>8.2</v>
      </c>
    </row>
    <row r="41" spans="1:13" ht="12.75">
      <c r="A41" s="116" t="s">
        <v>448</v>
      </c>
      <c r="B41" s="1">
        <v>5.6</v>
      </c>
      <c r="C41" s="1">
        <v>6.6</v>
      </c>
      <c r="D41" s="1">
        <v>10.3</v>
      </c>
      <c r="E41" s="1">
        <v>12.8</v>
      </c>
      <c r="F41" s="1">
        <v>15.8</v>
      </c>
      <c r="G41" s="1">
        <v>19.3</v>
      </c>
      <c r="H41" s="1">
        <v>20.9</v>
      </c>
      <c r="I41" s="1">
        <v>21</v>
      </c>
      <c r="J41" s="1">
        <v>18.6</v>
      </c>
      <c r="K41" s="1">
        <v>13.8</v>
      </c>
      <c r="L41" s="1">
        <v>9.1</v>
      </c>
      <c r="M41" s="249">
        <v>6.2</v>
      </c>
    </row>
    <row r="42" spans="1:13" ht="12.75">
      <c r="A42" s="116" t="s">
        <v>449</v>
      </c>
      <c r="B42" s="1">
        <v>3.1</v>
      </c>
      <c r="C42" s="1">
        <v>4</v>
      </c>
      <c r="D42" s="1">
        <v>7.7</v>
      </c>
      <c r="E42" s="1">
        <v>10.5</v>
      </c>
      <c r="F42" s="1">
        <v>14</v>
      </c>
      <c r="G42" s="1">
        <v>17.3</v>
      </c>
      <c r="H42" s="1">
        <v>19.2</v>
      </c>
      <c r="I42" s="1">
        <v>18.9</v>
      </c>
      <c r="J42" s="1">
        <v>16.4</v>
      </c>
      <c r="K42" s="1">
        <v>11.5</v>
      </c>
      <c r="L42" s="1">
        <v>6.9</v>
      </c>
      <c r="M42" s="249">
        <v>3.9</v>
      </c>
    </row>
    <row r="43" spans="1:13" ht="12.75">
      <c r="A43" s="116" t="s">
        <v>450</v>
      </c>
      <c r="B43" s="1">
        <v>6.1</v>
      </c>
      <c r="C43" s="1">
        <v>5.8</v>
      </c>
      <c r="D43" s="1">
        <v>7.8</v>
      </c>
      <c r="E43" s="1">
        <v>9.2</v>
      </c>
      <c r="F43" s="1">
        <v>11.6</v>
      </c>
      <c r="G43" s="1">
        <v>14.4</v>
      </c>
      <c r="H43" s="1">
        <v>15.6</v>
      </c>
      <c r="I43" s="1">
        <v>16</v>
      </c>
      <c r="J43" s="1">
        <v>14.7</v>
      </c>
      <c r="K43" s="1">
        <v>12</v>
      </c>
      <c r="L43" s="1">
        <v>9</v>
      </c>
      <c r="M43" s="249">
        <v>7</v>
      </c>
    </row>
    <row r="44" spans="1:13" ht="12.75">
      <c r="A44" s="116" t="s">
        <v>451</v>
      </c>
      <c r="B44" s="1">
        <v>4.3</v>
      </c>
      <c r="C44" s="1">
        <v>4.6</v>
      </c>
      <c r="D44" s="1">
        <v>7</v>
      </c>
      <c r="E44" s="1">
        <v>9.2</v>
      </c>
      <c r="F44" s="1">
        <v>12.3</v>
      </c>
      <c r="G44" s="1">
        <v>15</v>
      </c>
      <c r="H44" s="1">
        <v>17</v>
      </c>
      <c r="I44" s="1">
        <v>17</v>
      </c>
      <c r="J44" s="1">
        <v>15.2</v>
      </c>
      <c r="K44" s="1">
        <v>11.5</v>
      </c>
      <c r="L44" s="1">
        <v>7.5</v>
      </c>
      <c r="M44" s="249">
        <v>5.1</v>
      </c>
    </row>
    <row r="45" spans="1:13" ht="12.75">
      <c r="A45" s="116" t="s">
        <v>452</v>
      </c>
      <c r="B45" s="1">
        <v>2</v>
      </c>
      <c r="C45" s="1">
        <v>2.9</v>
      </c>
      <c r="D45" s="1">
        <v>7.4</v>
      </c>
      <c r="E45" s="1">
        <v>9.6</v>
      </c>
      <c r="F45" s="1">
        <v>13.5</v>
      </c>
      <c r="G45" s="1">
        <v>17</v>
      </c>
      <c r="H45" s="1">
        <v>18.9</v>
      </c>
      <c r="I45" s="1">
        <v>18.5</v>
      </c>
      <c r="J45" s="1">
        <v>16</v>
      </c>
      <c r="K45" s="1">
        <v>11.2</v>
      </c>
      <c r="L45" s="1">
        <v>7</v>
      </c>
      <c r="M45" s="249">
        <v>3</v>
      </c>
    </row>
    <row r="46" spans="1:13" ht="12.75">
      <c r="A46" s="116" t="s">
        <v>453</v>
      </c>
      <c r="B46" s="1">
        <v>6.1</v>
      </c>
      <c r="C46" s="1">
        <v>6.7</v>
      </c>
      <c r="D46" s="1">
        <v>9.8</v>
      </c>
      <c r="E46" s="1">
        <v>11.8</v>
      </c>
      <c r="F46" s="1">
        <v>14.7</v>
      </c>
      <c r="G46" s="1">
        <v>17.9</v>
      </c>
      <c r="H46" s="1">
        <v>19.8</v>
      </c>
      <c r="I46" s="1">
        <v>20</v>
      </c>
      <c r="J46" s="1">
        <v>18</v>
      </c>
      <c r="K46" s="1">
        <v>13.7</v>
      </c>
      <c r="L46" s="1">
        <v>9.5</v>
      </c>
      <c r="M46" s="249">
        <v>6.8</v>
      </c>
    </row>
    <row r="47" spans="1:13" ht="12.75">
      <c r="A47" s="116" t="s">
        <v>454</v>
      </c>
      <c r="B47" s="1">
        <v>3</v>
      </c>
      <c r="C47" s="1">
        <v>4</v>
      </c>
      <c r="D47" s="1">
        <v>6.4</v>
      </c>
      <c r="E47" s="1">
        <v>9.4</v>
      </c>
      <c r="F47" s="1">
        <v>13.3</v>
      </c>
      <c r="G47" s="1">
        <v>16.4</v>
      </c>
      <c r="H47" s="1">
        <v>18.4</v>
      </c>
      <c r="I47" s="1">
        <v>18</v>
      </c>
      <c r="J47" s="1">
        <v>15.5</v>
      </c>
      <c r="K47" s="1">
        <v>10.8</v>
      </c>
      <c r="L47" s="1">
        <v>5.9</v>
      </c>
      <c r="M47" s="249">
        <v>3.7</v>
      </c>
    </row>
    <row r="48" spans="1:13" ht="12.75">
      <c r="A48" s="116" t="s">
        <v>455</v>
      </c>
      <c r="B48" s="1">
        <v>2.6</v>
      </c>
      <c r="C48" s="1">
        <v>3.7</v>
      </c>
      <c r="D48" s="1">
        <v>7.5</v>
      </c>
      <c r="E48" s="1">
        <v>10.3</v>
      </c>
      <c r="F48" s="1">
        <v>13.8</v>
      </c>
      <c r="G48" s="1">
        <v>17.3</v>
      </c>
      <c r="H48" s="1">
        <v>19.4</v>
      </c>
      <c r="I48" s="1">
        <v>19.1</v>
      </c>
      <c r="J48" s="1">
        <v>16.2</v>
      </c>
      <c r="K48" s="1">
        <v>11.2</v>
      </c>
      <c r="L48" s="1">
        <v>6.6</v>
      </c>
      <c r="M48" s="249">
        <v>3.6</v>
      </c>
    </row>
    <row r="49" spans="1:13" ht="12.75">
      <c r="A49" s="116" t="s">
        <v>456</v>
      </c>
      <c r="B49" s="1">
        <v>6</v>
      </c>
      <c r="C49" s="1">
        <v>7.3</v>
      </c>
      <c r="D49" s="1">
        <v>10.2</v>
      </c>
      <c r="E49" s="1">
        <v>12.3</v>
      </c>
      <c r="F49" s="1">
        <v>15</v>
      </c>
      <c r="G49" s="1">
        <v>18.2</v>
      </c>
      <c r="H49" s="1">
        <v>20.6</v>
      </c>
      <c r="I49" s="1">
        <v>20.1</v>
      </c>
      <c r="J49" s="1">
        <v>18.5</v>
      </c>
      <c r="K49" s="1">
        <v>14</v>
      </c>
      <c r="L49" s="1">
        <v>10</v>
      </c>
      <c r="M49" s="249">
        <v>7.2</v>
      </c>
    </row>
    <row r="50" spans="1:13" ht="12.75">
      <c r="A50" s="116" t="s">
        <v>457</v>
      </c>
      <c r="B50" s="1">
        <v>0.4</v>
      </c>
      <c r="C50" s="1">
        <v>1.7</v>
      </c>
      <c r="D50" s="1">
        <v>5.9</v>
      </c>
      <c r="E50" s="1">
        <v>9.5</v>
      </c>
      <c r="F50" s="1">
        <v>13.5</v>
      </c>
      <c r="G50" s="1">
        <v>17</v>
      </c>
      <c r="H50" s="1">
        <v>18.9</v>
      </c>
      <c r="I50" s="1">
        <v>18.5</v>
      </c>
      <c r="J50" s="1">
        <v>15.6</v>
      </c>
      <c r="K50" s="1">
        <v>10.2</v>
      </c>
      <c r="L50" s="1">
        <v>5.3</v>
      </c>
      <c r="M50" s="249">
        <v>1.4</v>
      </c>
    </row>
    <row r="51" spans="1:13" ht="12.75">
      <c r="A51" s="116" t="s">
        <v>458</v>
      </c>
      <c r="B51" s="1">
        <v>1.3</v>
      </c>
      <c r="C51" s="1">
        <v>2.6</v>
      </c>
      <c r="D51" s="1">
        <v>6.9</v>
      </c>
      <c r="E51" s="1">
        <v>10.4</v>
      </c>
      <c r="F51" s="1">
        <v>14.3</v>
      </c>
      <c r="G51" s="1">
        <v>17.7</v>
      </c>
      <c r="H51" s="1">
        <v>19.6</v>
      </c>
      <c r="I51" s="1">
        <v>19</v>
      </c>
      <c r="J51" s="1">
        <v>15.9</v>
      </c>
      <c r="K51" s="1">
        <v>10.5</v>
      </c>
      <c r="L51" s="1">
        <v>5.7</v>
      </c>
      <c r="M51" s="249">
        <v>2.1</v>
      </c>
    </row>
    <row r="52" spans="1:13" ht="12.75">
      <c r="A52" s="116" t="s">
        <v>459</v>
      </c>
      <c r="B52" s="1">
        <v>-3.4</v>
      </c>
      <c r="C52" s="1">
        <v>-2.2</v>
      </c>
      <c r="D52" s="1">
        <v>0.9</v>
      </c>
      <c r="E52" s="1">
        <v>4.8</v>
      </c>
      <c r="F52" s="1">
        <v>8.5</v>
      </c>
      <c r="G52" s="1">
        <v>12.6</v>
      </c>
      <c r="H52" s="1">
        <v>16.3</v>
      </c>
      <c r="I52" s="1">
        <v>15.7</v>
      </c>
      <c r="J52" s="1">
        <v>12.6</v>
      </c>
      <c r="K52" s="1">
        <v>7.5</v>
      </c>
      <c r="L52" s="1">
        <v>2.5</v>
      </c>
      <c r="M52" s="249">
        <v>-2</v>
      </c>
    </row>
    <row r="53" spans="1:13" ht="12.75">
      <c r="A53" s="116" t="s">
        <v>460</v>
      </c>
      <c r="B53" s="1">
        <v>4.5</v>
      </c>
      <c r="C53" s="1">
        <v>5.4</v>
      </c>
      <c r="D53" s="1">
        <v>9.3</v>
      </c>
      <c r="E53" s="1">
        <v>11.5</v>
      </c>
      <c r="F53" s="1">
        <v>14.7</v>
      </c>
      <c r="G53" s="1">
        <v>18.1</v>
      </c>
      <c r="H53" s="1">
        <v>19.9</v>
      </c>
      <c r="I53" s="1">
        <v>19.7</v>
      </c>
      <c r="J53" s="1">
        <v>17.3</v>
      </c>
      <c r="K53" s="1">
        <v>12.6</v>
      </c>
      <c r="L53" s="1">
        <v>8.2</v>
      </c>
      <c r="M53" s="249">
        <v>5.1</v>
      </c>
    </row>
    <row r="54" spans="1:13" ht="12.75">
      <c r="A54" s="116" t="s">
        <v>461</v>
      </c>
      <c r="B54" s="1">
        <v>1.5</v>
      </c>
      <c r="C54" s="1">
        <v>3.2</v>
      </c>
      <c r="D54" s="1">
        <v>7.7</v>
      </c>
      <c r="E54" s="1">
        <v>10.6</v>
      </c>
      <c r="F54" s="1">
        <v>14.5</v>
      </c>
      <c r="G54" s="1">
        <v>17.8</v>
      </c>
      <c r="H54" s="1">
        <v>20.1</v>
      </c>
      <c r="I54" s="1">
        <v>19.5</v>
      </c>
      <c r="J54" s="1">
        <v>16.7</v>
      </c>
      <c r="K54" s="1">
        <v>11.4</v>
      </c>
      <c r="L54" s="1">
        <v>6.5</v>
      </c>
      <c r="M54" s="249">
        <v>2.3</v>
      </c>
    </row>
    <row r="55" spans="1:13" ht="12.75">
      <c r="A55" s="116" t="s">
        <v>462</v>
      </c>
      <c r="B55" s="1">
        <v>5.8</v>
      </c>
      <c r="C55" s="1">
        <v>6.4</v>
      </c>
      <c r="D55" s="1">
        <v>9.3</v>
      </c>
      <c r="E55" s="1">
        <v>11.7</v>
      </c>
      <c r="F55" s="1">
        <v>14.7</v>
      </c>
      <c r="G55" s="1">
        <v>17.8</v>
      </c>
      <c r="H55" s="1">
        <v>19.5</v>
      </c>
      <c r="I55" s="1">
        <v>19.8</v>
      </c>
      <c r="J55" s="1">
        <v>17.8</v>
      </c>
      <c r="K55" s="1">
        <v>13.8</v>
      </c>
      <c r="L55" s="1">
        <v>9.6</v>
      </c>
      <c r="M55" s="249">
        <v>6.8</v>
      </c>
    </row>
    <row r="56" spans="1:13" ht="12.75">
      <c r="A56" s="116" t="s">
        <v>463</v>
      </c>
      <c r="B56" s="1">
        <v>0.3</v>
      </c>
      <c r="C56" s="1">
        <v>1.3</v>
      </c>
      <c r="D56" s="1">
        <v>5.5</v>
      </c>
      <c r="E56" s="1">
        <v>8.7</v>
      </c>
      <c r="F56" s="1">
        <v>12.6</v>
      </c>
      <c r="G56" s="1">
        <v>15.6</v>
      </c>
      <c r="H56" s="1">
        <v>17.7</v>
      </c>
      <c r="I56" s="1">
        <v>17.4</v>
      </c>
      <c r="J56" s="1">
        <v>14.7</v>
      </c>
      <c r="K56" s="1">
        <v>9.7</v>
      </c>
      <c r="L56" s="1">
        <v>4.7</v>
      </c>
      <c r="M56" s="249">
        <v>1.3</v>
      </c>
    </row>
    <row r="57" spans="1:13" ht="12.75">
      <c r="A57" s="116" t="s">
        <v>464</v>
      </c>
      <c r="B57" s="1">
        <v>3.8</v>
      </c>
      <c r="C57" s="1">
        <v>4.5</v>
      </c>
      <c r="D57" s="1">
        <v>7.6</v>
      </c>
      <c r="E57" s="1">
        <v>10.2</v>
      </c>
      <c r="F57" s="1">
        <v>13.7</v>
      </c>
      <c r="G57" s="1">
        <v>17</v>
      </c>
      <c r="H57" s="1">
        <v>18.8</v>
      </c>
      <c r="I57" s="1">
        <v>18.4</v>
      </c>
      <c r="J57" s="1">
        <v>15.9</v>
      </c>
      <c r="K57" s="1">
        <v>11.5</v>
      </c>
      <c r="L57" s="1">
        <v>7.4</v>
      </c>
      <c r="M57" s="249">
        <v>4.5</v>
      </c>
    </row>
    <row r="58" spans="1:13" ht="12.75">
      <c r="A58" s="116" t="s">
        <v>465</v>
      </c>
      <c r="B58" s="1">
        <v>3</v>
      </c>
      <c r="C58" s="1">
        <v>4.1</v>
      </c>
      <c r="D58" s="1">
        <v>7.8</v>
      </c>
      <c r="E58" s="1">
        <v>11</v>
      </c>
      <c r="F58" s="1">
        <v>14.2</v>
      </c>
      <c r="G58" s="1">
        <v>17.9</v>
      </c>
      <c r="H58" s="1">
        <v>20.1</v>
      </c>
      <c r="I58" s="1">
        <v>19.9</v>
      </c>
      <c r="J58" s="1">
        <v>16.8</v>
      </c>
      <c r="K58" s="1">
        <v>11.8</v>
      </c>
      <c r="L58" s="1">
        <v>7.6</v>
      </c>
      <c r="M58" s="249">
        <v>4.6</v>
      </c>
    </row>
    <row r="59" spans="1:13" ht="12.75">
      <c r="A59" s="116" t="s">
        <v>466</v>
      </c>
      <c r="B59" s="1">
        <v>2.4</v>
      </c>
      <c r="C59" s="1">
        <v>2.9</v>
      </c>
      <c r="D59" s="1">
        <v>6</v>
      </c>
      <c r="E59" s="1">
        <v>8.9</v>
      </c>
      <c r="F59" s="1">
        <v>12.4</v>
      </c>
      <c r="G59" s="1">
        <v>15.3</v>
      </c>
      <c r="H59" s="1">
        <v>17.1</v>
      </c>
      <c r="I59" s="1">
        <v>17.1</v>
      </c>
      <c r="J59" s="1">
        <v>14.7</v>
      </c>
      <c r="K59" s="1">
        <v>10.4</v>
      </c>
      <c r="L59" s="1">
        <v>6.1</v>
      </c>
      <c r="M59" s="249">
        <v>3.5</v>
      </c>
    </row>
    <row r="60" spans="1:13" ht="12.75">
      <c r="A60" s="116" t="s">
        <v>467</v>
      </c>
      <c r="B60" s="1">
        <v>2.6</v>
      </c>
      <c r="C60" s="1">
        <v>3.7</v>
      </c>
      <c r="D60" s="1">
        <v>7.5</v>
      </c>
      <c r="E60" s="1">
        <v>10.3</v>
      </c>
      <c r="F60" s="1">
        <v>13.8</v>
      </c>
      <c r="G60" s="1">
        <v>17.3</v>
      </c>
      <c r="H60" s="1">
        <v>19.4</v>
      </c>
      <c r="I60" s="1">
        <v>19.1</v>
      </c>
      <c r="J60" s="1">
        <v>16.2</v>
      </c>
      <c r="K60" s="1">
        <v>11.2</v>
      </c>
      <c r="L60" s="1">
        <v>6.6</v>
      </c>
      <c r="M60" s="249">
        <v>3.6</v>
      </c>
    </row>
    <row r="61" spans="1:13" ht="12.75">
      <c r="A61" s="116" t="s">
        <v>468</v>
      </c>
      <c r="B61" s="1">
        <v>2.4</v>
      </c>
      <c r="C61" s="1">
        <v>3.2</v>
      </c>
      <c r="D61" s="1">
        <v>6.9</v>
      </c>
      <c r="E61" s="1">
        <v>9.8</v>
      </c>
      <c r="F61" s="1">
        <v>13.1</v>
      </c>
      <c r="G61" s="1">
        <v>16.8</v>
      </c>
      <c r="H61" s="1">
        <v>19</v>
      </c>
      <c r="I61" s="1">
        <v>18.2</v>
      </c>
      <c r="J61" s="1">
        <v>15.5</v>
      </c>
      <c r="K61" s="1">
        <v>10.4</v>
      </c>
      <c r="L61" s="1">
        <v>6</v>
      </c>
      <c r="M61" s="249">
        <v>3</v>
      </c>
    </row>
    <row r="62" spans="1:13" ht="12.75">
      <c r="A62" s="116" t="s">
        <v>469</v>
      </c>
      <c r="B62" s="1">
        <v>6.5</v>
      </c>
      <c r="C62" s="1">
        <v>7.6</v>
      </c>
      <c r="D62" s="1">
        <v>10</v>
      </c>
      <c r="E62" s="1">
        <v>13.3</v>
      </c>
      <c r="F62" s="1">
        <v>16.7</v>
      </c>
      <c r="G62" s="1">
        <v>20.5</v>
      </c>
      <c r="H62" s="1">
        <v>22.4</v>
      </c>
      <c r="I62" s="1">
        <v>22.4</v>
      </c>
      <c r="J62" s="1">
        <v>19.1</v>
      </c>
      <c r="K62" s="1">
        <v>14.9</v>
      </c>
      <c r="L62" s="1">
        <v>10.5</v>
      </c>
      <c r="M62" s="249">
        <v>7.7</v>
      </c>
    </row>
    <row r="63" spans="1:13" ht="12.75">
      <c r="A63" s="116" t="s">
        <v>470</v>
      </c>
      <c r="B63" s="1">
        <v>1.7</v>
      </c>
      <c r="C63" s="1">
        <v>2.6</v>
      </c>
      <c r="D63" s="1">
        <v>6</v>
      </c>
      <c r="E63" s="1">
        <v>9.4</v>
      </c>
      <c r="F63" s="1">
        <v>13</v>
      </c>
      <c r="G63" s="1">
        <v>16.1</v>
      </c>
      <c r="H63" s="1">
        <v>18</v>
      </c>
      <c r="I63" s="1">
        <v>17.5</v>
      </c>
      <c r="J63" s="1">
        <v>14.8</v>
      </c>
      <c r="K63" s="1">
        <v>10</v>
      </c>
      <c r="L63" s="1">
        <v>5.8</v>
      </c>
      <c r="M63" s="249">
        <v>2</v>
      </c>
    </row>
    <row r="64" spans="1:13" ht="12.75">
      <c r="A64" s="116" t="s">
        <v>471</v>
      </c>
      <c r="B64" s="1">
        <v>1.9</v>
      </c>
      <c r="C64" s="1">
        <v>3</v>
      </c>
      <c r="D64" s="1">
        <v>7.2</v>
      </c>
      <c r="E64" s="1">
        <v>9.3</v>
      </c>
      <c r="F64" s="1">
        <v>13.2</v>
      </c>
      <c r="G64" s="1">
        <v>16.8</v>
      </c>
      <c r="H64" s="1">
        <v>18.5</v>
      </c>
      <c r="I64" s="1">
        <v>18.2</v>
      </c>
      <c r="J64" s="1">
        <v>15.6</v>
      </c>
      <c r="K64" s="1">
        <v>11</v>
      </c>
      <c r="L64" s="1">
        <v>6.7</v>
      </c>
      <c r="M64" s="249">
        <v>2</v>
      </c>
    </row>
    <row r="65" spans="1:13" ht="12.75">
      <c r="A65" s="116" t="s">
        <v>472</v>
      </c>
      <c r="B65" s="1">
        <v>2</v>
      </c>
      <c r="C65" s="1">
        <v>2.9</v>
      </c>
      <c r="D65" s="1">
        <v>7.4</v>
      </c>
      <c r="E65" s="1">
        <v>9.6</v>
      </c>
      <c r="F65" s="1">
        <v>13.5</v>
      </c>
      <c r="G65" s="1">
        <v>17</v>
      </c>
      <c r="H65" s="1">
        <v>18.9</v>
      </c>
      <c r="I65" s="1">
        <v>18.5</v>
      </c>
      <c r="J65" s="1">
        <v>16</v>
      </c>
      <c r="K65" s="1">
        <v>11.2</v>
      </c>
      <c r="L65" s="1">
        <v>7</v>
      </c>
      <c r="M65" s="249">
        <v>3</v>
      </c>
    </row>
    <row r="66" spans="1:13" ht="12.75">
      <c r="A66" s="116" t="s">
        <v>473</v>
      </c>
      <c r="B66" s="1">
        <v>5.8</v>
      </c>
      <c r="C66" s="1">
        <v>6.8</v>
      </c>
      <c r="D66" s="1">
        <v>10.5</v>
      </c>
      <c r="E66" s="1">
        <v>13</v>
      </c>
      <c r="F66" s="1">
        <v>16</v>
      </c>
      <c r="G66" s="1">
        <v>19.6</v>
      </c>
      <c r="H66" s="1">
        <v>21</v>
      </c>
      <c r="I66" s="1">
        <v>21.2</v>
      </c>
      <c r="J66" s="1">
        <v>18.9</v>
      </c>
      <c r="K66" s="1">
        <v>14.1</v>
      </c>
      <c r="L66" s="1">
        <v>9.5</v>
      </c>
      <c r="M66" s="249">
        <v>6.5</v>
      </c>
    </row>
    <row r="67" spans="1:13" ht="12.75">
      <c r="A67" s="116" t="s">
        <v>474</v>
      </c>
      <c r="B67" s="1">
        <v>5</v>
      </c>
      <c r="C67" s="1">
        <v>7</v>
      </c>
      <c r="D67" s="1">
        <v>8.8</v>
      </c>
      <c r="E67" s="1">
        <v>12.8</v>
      </c>
      <c r="F67" s="1">
        <v>16</v>
      </c>
      <c r="G67" s="1">
        <v>19</v>
      </c>
      <c r="H67" s="1">
        <v>21.1</v>
      </c>
      <c r="I67" s="1">
        <v>21.9</v>
      </c>
      <c r="J67" s="1">
        <v>18.5</v>
      </c>
      <c r="K67" s="1">
        <v>14.2</v>
      </c>
      <c r="L67" s="1">
        <v>10.1</v>
      </c>
      <c r="M67" s="249">
        <v>6.8</v>
      </c>
    </row>
    <row r="68" spans="1:13" ht="12.75">
      <c r="A68" s="116" t="s">
        <v>475</v>
      </c>
      <c r="B68" s="1">
        <v>0.8</v>
      </c>
      <c r="C68" s="1">
        <v>1.7</v>
      </c>
      <c r="D68" s="1">
        <v>5.8</v>
      </c>
      <c r="E68" s="1">
        <v>10.1</v>
      </c>
      <c r="F68" s="1">
        <v>14.1</v>
      </c>
      <c r="G68" s="1">
        <v>17.8</v>
      </c>
      <c r="H68" s="1">
        <v>19.1</v>
      </c>
      <c r="I68" s="1">
        <v>18.5</v>
      </c>
      <c r="J68" s="1">
        <v>15.5</v>
      </c>
      <c r="K68" s="1">
        <v>9.8</v>
      </c>
      <c r="L68" s="1">
        <v>4.9</v>
      </c>
      <c r="M68" s="249">
        <v>1.8</v>
      </c>
    </row>
    <row r="69" spans="1:13" ht="12.75">
      <c r="A69" s="116" t="s">
        <v>476</v>
      </c>
      <c r="B69" s="1">
        <v>0.5</v>
      </c>
      <c r="C69" s="1">
        <v>1.8</v>
      </c>
      <c r="D69" s="1">
        <v>5.7</v>
      </c>
      <c r="E69" s="1">
        <v>10</v>
      </c>
      <c r="F69" s="1">
        <v>14.5</v>
      </c>
      <c r="G69" s="1">
        <v>17.7</v>
      </c>
      <c r="H69" s="1">
        <v>20</v>
      </c>
      <c r="I69" s="1">
        <v>18.5</v>
      </c>
      <c r="J69" s="1">
        <v>15.4</v>
      </c>
      <c r="K69" s="1">
        <v>9.8</v>
      </c>
      <c r="L69" s="1">
        <v>4.8</v>
      </c>
      <c r="M69" s="249">
        <v>1.5</v>
      </c>
    </row>
    <row r="70" spans="1:13" ht="12.75">
      <c r="A70" s="116" t="s">
        <v>477</v>
      </c>
      <c r="B70" s="1">
        <v>4.7</v>
      </c>
      <c r="C70" s="1">
        <v>4.8</v>
      </c>
      <c r="D70" s="1">
        <v>7.8</v>
      </c>
      <c r="E70" s="1">
        <v>10.3</v>
      </c>
      <c r="F70" s="1">
        <v>13.5</v>
      </c>
      <c r="G70" s="1">
        <v>17</v>
      </c>
      <c r="H70" s="1">
        <v>18.5</v>
      </c>
      <c r="I70" s="1">
        <v>18.3</v>
      </c>
      <c r="J70" s="1">
        <v>15.9</v>
      </c>
      <c r="K70" s="1">
        <v>11.6</v>
      </c>
      <c r="L70" s="1">
        <v>7.5</v>
      </c>
      <c r="M70" s="249">
        <v>4.7</v>
      </c>
    </row>
    <row r="71" spans="1:13" ht="12.75">
      <c r="A71" s="116" t="s">
        <v>478</v>
      </c>
      <c r="B71" s="1">
        <v>9</v>
      </c>
      <c r="C71" s="1">
        <v>9.8</v>
      </c>
      <c r="D71" s="1">
        <v>10.8</v>
      </c>
      <c r="E71" s="1">
        <v>11.5</v>
      </c>
      <c r="F71" s="1">
        <v>16</v>
      </c>
      <c r="G71" s="1">
        <v>20</v>
      </c>
      <c r="H71" s="1">
        <v>22.1</v>
      </c>
      <c r="I71" s="1">
        <v>21</v>
      </c>
      <c r="J71" s="1">
        <v>20.3</v>
      </c>
      <c r="K71" s="1">
        <v>17</v>
      </c>
      <c r="L71" s="1">
        <v>12.9</v>
      </c>
      <c r="M71" s="249">
        <v>10</v>
      </c>
    </row>
    <row r="72" spans="1:13" ht="12.75">
      <c r="A72" s="116" t="s">
        <v>479</v>
      </c>
      <c r="B72" s="1">
        <v>7.2</v>
      </c>
      <c r="C72" s="1">
        <v>8</v>
      </c>
      <c r="D72" s="1">
        <v>11</v>
      </c>
      <c r="E72" s="1">
        <v>13.2</v>
      </c>
      <c r="F72" s="1">
        <v>17</v>
      </c>
      <c r="G72" s="1">
        <v>20.9</v>
      </c>
      <c r="H72" s="1">
        <v>23.5</v>
      </c>
      <c r="I72" s="1">
        <v>23</v>
      </c>
      <c r="J72" s="1">
        <v>20.1</v>
      </c>
      <c r="K72" s="1">
        <v>15.4</v>
      </c>
      <c r="L72" s="1">
        <v>11.1</v>
      </c>
      <c r="M72" s="249">
        <v>9.4</v>
      </c>
    </row>
    <row r="73" spans="1:13" ht="12.75">
      <c r="A73" s="116" t="s">
        <v>480</v>
      </c>
      <c r="B73" s="1">
        <v>3</v>
      </c>
      <c r="C73" s="1">
        <v>4.1</v>
      </c>
      <c r="D73" s="1">
        <v>7.5</v>
      </c>
      <c r="E73" s="1">
        <v>10.1</v>
      </c>
      <c r="F73" s="1">
        <v>13.5</v>
      </c>
      <c r="G73" s="1">
        <v>17.2</v>
      </c>
      <c r="H73" s="1">
        <v>19</v>
      </c>
      <c r="I73" s="1">
        <v>18.8</v>
      </c>
      <c r="J73" s="1">
        <v>15.8</v>
      </c>
      <c r="K73" s="1">
        <v>11.2</v>
      </c>
      <c r="L73" s="1">
        <v>6.9</v>
      </c>
      <c r="M73" s="249">
        <v>4</v>
      </c>
    </row>
    <row r="74" spans="1:13" ht="12.75">
      <c r="A74" s="116" t="s">
        <v>481</v>
      </c>
      <c r="B74" s="1">
        <v>3.2</v>
      </c>
      <c r="C74" s="1">
        <v>4</v>
      </c>
      <c r="D74" s="1">
        <v>6.4</v>
      </c>
      <c r="E74" s="1">
        <v>9.6</v>
      </c>
      <c r="F74" s="1">
        <v>13.5</v>
      </c>
      <c r="G74" s="1">
        <v>16.4</v>
      </c>
      <c r="H74" s="1">
        <v>18.4</v>
      </c>
      <c r="I74" s="1">
        <v>18.1</v>
      </c>
      <c r="J74" s="1">
        <v>15.3</v>
      </c>
      <c r="K74" s="1">
        <v>10.7</v>
      </c>
      <c r="L74" s="1">
        <v>6</v>
      </c>
      <c r="M74" s="249">
        <v>3.9</v>
      </c>
    </row>
    <row r="75" spans="1:13" ht="12.75">
      <c r="A75" s="116" t="s">
        <v>482</v>
      </c>
      <c r="B75" s="1">
        <v>7.5</v>
      </c>
      <c r="C75" s="1">
        <v>8.4</v>
      </c>
      <c r="D75" s="1">
        <v>11.3</v>
      </c>
      <c r="E75" s="1">
        <v>13.9</v>
      </c>
      <c r="F75" s="1">
        <v>17.1</v>
      </c>
      <c r="G75" s="1">
        <v>21.1</v>
      </c>
      <c r="H75" s="1">
        <v>23.8</v>
      </c>
      <c r="I75" s="1">
        <v>23.3</v>
      </c>
      <c r="J75" s="1">
        <v>20.5</v>
      </c>
      <c r="K75" s="1">
        <v>15.9</v>
      </c>
      <c r="L75" s="1">
        <v>11.5</v>
      </c>
      <c r="M75" s="249">
        <v>9.6</v>
      </c>
    </row>
    <row r="76" spans="1:13" ht="12.75">
      <c r="A76" s="116" t="s">
        <v>483</v>
      </c>
      <c r="B76" s="1">
        <v>1.9</v>
      </c>
      <c r="C76" s="1">
        <v>2.8</v>
      </c>
      <c r="D76" s="1">
        <v>6.2</v>
      </c>
      <c r="E76" s="1">
        <v>9.4</v>
      </c>
      <c r="F76" s="1">
        <v>13.3</v>
      </c>
      <c r="G76" s="1">
        <v>16.4</v>
      </c>
      <c r="H76" s="1">
        <v>18.3</v>
      </c>
      <c r="I76" s="1">
        <v>17.9</v>
      </c>
      <c r="J76" s="1">
        <v>15.1</v>
      </c>
      <c r="K76" s="1">
        <v>10.3</v>
      </c>
      <c r="L76" s="1">
        <v>6.1</v>
      </c>
      <c r="M76" s="249">
        <v>3</v>
      </c>
    </row>
    <row r="77" spans="1:13" ht="12.75">
      <c r="A77" s="116" t="s">
        <v>484</v>
      </c>
      <c r="B77" s="1">
        <v>4.8</v>
      </c>
      <c r="C77" s="1">
        <v>5.3</v>
      </c>
      <c r="D77" s="1">
        <v>7.9</v>
      </c>
      <c r="E77" s="1">
        <v>10.1</v>
      </c>
      <c r="F77" s="1">
        <v>13.1</v>
      </c>
      <c r="G77" s="1">
        <v>16.2</v>
      </c>
      <c r="H77" s="1">
        <v>17.9</v>
      </c>
      <c r="I77" s="1">
        <v>17.8</v>
      </c>
      <c r="J77" s="1">
        <v>15.7</v>
      </c>
      <c r="K77" s="1">
        <v>11.6</v>
      </c>
      <c r="L77" s="1">
        <v>7.8</v>
      </c>
      <c r="M77" s="249">
        <v>5.4</v>
      </c>
    </row>
    <row r="78" spans="1:13" ht="12.75">
      <c r="A78" s="116" t="s">
        <v>485</v>
      </c>
      <c r="B78" s="1">
        <v>3.4</v>
      </c>
      <c r="C78" s="1">
        <v>3.9</v>
      </c>
      <c r="D78" s="1">
        <v>6.8</v>
      </c>
      <c r="E78" s="1">
        <v>9.5</v>
      </c>
      <c r="F78" s="1">
        <v>12.9</v>
      </c>
      <c r="G78" s="1">
        <v>15.7</v>
      </c>
      <c r="H78" s="1">
        <v>17.6</v>
      </c>
      <c r="I78" s="1">
        <v>17.2</v>
      </c>
      <c r="J78" s="1">
        <v>15</v>
      </c>
      <c r="K78" s="1">
        <v>11</v>
      </c>
      <c r="L78" s="1">
        <v>6.8</v>
      </c>
      <c r="M78" s="249">
        <v>4.3</v>
      </c>
    </row>
    <row r="79" spans="1:13" ht="12.75">
      <c r="A79" s="116" t="s">
        <v>486</v>
      </c>
      <c r="B79" s="1">
        <v>6.4</v>
      </c>
      <c r="C79" s="1">
        <v>7.4</v>
      </c>
      <c r="D79" s="1">
        <v>9.9</v>
      </c>
      <c r="E79" s="1">
        <v>13.1</v>
      </c>
      <c r="F79" s="1">
        <v>16.5</v>
      </c>
      <c r="G79" s="1">
        <v>19.8</v>
      </c>
      <c r="H79" s="1">
        <v>22.2</v>
      </c>
      <c r="I79" s="1">
        <v>22</v>
      </c>
      <c r="J79" s="1">
        <v>18.8</v>
      </c>
      <c r="K79" s="1">
        <v>14.5</v>
      </c>
      <c r="L79" s="1">
        <v>10.1</v>
      </c>
      <c r="M79" s="249">
        <v>7.2</v>
      </c>
    </row>
    <row r="80" spans="1:13" ht="12.75">
      <c r="A80" s="116" t="s">
        <v>487</v>
      </c>
      <c r="B80" s="1">
        <v>2</v>
      </c>
      <c r="C80" s="1">
        <v>2.9</v>
      </c>
      <c r="D80" s="1">
        <v>6.3</v>
      </c>
      <c r="E80" s="1">
        <v>9.2</v>
      </c>
      <c r="F80" s="1">
        <v>12.7</v>
      </c>
      <c r="G80" s="1">
        <v>15.6</v>
      </c>
      <c r="H80" s="1">
        <v>17.4</v>
      </c>
      <c r="I80" s="1">
        <v>17.4</v>
      </c>
      <c r="J80" s="1">
        <v>15</v>
      </c>
      <c r="K80" s="1">
        <v>10.5</v>
      </c>
      <c r="L80" s="1">
        <v>6.1</v>
      </c>
      <c r="M80" s="249">
        <v>3.1</v>
      </c>
    </row>
    <row r="81" spans="1:13" ht="12.75">
      <c r="A81" s="116" t="s">
        <v>488</v>
      </c>
      <c r="B81" s="1">
        <v>0.6</v>
      </c>
      <c r="C81" s="1">
        <v>2.1</v>
      </c>
      <c r="D81" s="1">
        <v>5.4</v>
      </c>
      <c r="E81" s="1">
        <v>9</v>
      </c>
      <c r="F81" s="1">
        <v>1.4</v>
      </c>
      <c r="G81" s="1">
        <v>16.4</v>
      </c>
      <c r="H81" s="1">
        <v>18.2</v>
      </c>
      <c r="I81" s="1">
        <v>17.6</v>
      </c>
      <c r="J81" s="1">
        <v>14.5</v>
      </c>
      <c r="K81" s="1">
        <v>9.9</v>
      </c>
      <c r="L81" s="1">
        <v>3.9</v>
      </c>
      <c r="M81" s="249">
        <v>1.9</v>
      </c>
    </row>
    <row r="82" spans="1:13" ht="12.75">
      <c r="A82" s="116" t="s">
        <v>489</v>
      </c>
      <c r="B82" s="1">
        <v>0.4</v>
      </c>
      <c r="C82" s="1">
        <v>1.5</v>
      </c>
      <c r="D82" s="1">
        <v>5.6</v>
      </c>
      <c r="E82" s="1">
        <v>9.8</v>
      </c>
      <c r="F82" s="1">
        <v>14</v>
      </c>
      <c r="G82" s="1">
        <v>17.2</v>
      </c>
      <c r="H82" s="1">
        <v>19</v>
      </c>
      <c r="I82" s="1">
        <v>18.3</v>
      </c>
      <c r="J82" s="1">
        <v>15.1</v>
      </c>
      <c r="K82" s="1">
        <v>9.5</v>
      </c>
      <c r="L82" s="1">
        <v>4.9</v>
      </c>
      <c r="M82" s="249">
        <v>1.3</v>
      </c>
    </row>
    <row r="83" spans="1:13" ht="12.75">
      <c r="A83" s="116" t="s">
        <v>490</v>
      </c>
      <c r="B83" s="1">
        <v>8.6</v>
      </c>
      <c r="C83" s="1">
        <v>9.1</v>
      </c>
      <c r="D83" s="1">
        <v>11.2</v>
      </c>
      <c r="E83" s="1">
        <v>13.4</v>
      </c>
      <c r="F83" s="1">
        <v>16.6</v>
      </c>
      <c r="G83" s="1">
        <v>20.2</v>
      </c>
      <c r="H83" s="1">
        <v>22.6</v>
      </c>
      <c r="I83" s="1">
        <v>22.4</v>
      </c>
      <c r="J83" s="1">
        <v>20.5</v>
      </c>
      <c r="K83" s="1">
        <v>16.5</v>
      </c>
      <c r="L83" s="1">
        <v>12.6</v>
      </c>
      <c r="M83" s="249">
        <v>9.7</v>
      </c>
    </row>
    <row r="84" spans="1:13" ht="12.75">
      <c r="A84" s="116" t="s">
        <v>491</v>
      </c>
      <c r="B84" s="1">
        <v>4.7</v>
      </c>
      <c r="C84" s="1">
        <v>5.6</v>
      </c>
      <c r="D84" s="1">
        <v>9.2</v>
      </c>
      <c r="E84" s="1">
        <v>11.6</v>
      </c>
      <c r="F84" s="1">
        <v>14.9</v>
      </c>
      <c r="G84" s="1">
        <v>18.7</v>
      </c>
      <c r="H84" s="1">
        <v>20.9</v>
      </c>
      <c r="I84" s="1">
        <v>20.9</v>
      </c>
      <c r="J84" s="1">
        <v>18.3</v>
      </c>
      <c r="K84" s="1">
        <v>13.3</v>
      </c>
      <c r="L84" s="1">
        <v>8.6</v>
      </c>
      <c r="M84" s="249">
        <v>5.5</v>
      </c>
    </row>
    <row r="85" spans="1:13" ht="12.75">
      <c r="A85" s="116" t="s">
        <v>492</v>
      </c>
      <c r="B85" s="1">
        <v>3.5</v>
      </c>
      <c r="C85" s="1">
        <v>4.4</v>
      </c>
      <c r="D85" s="1">
        <v>7.7</v>
      </c>
      <c r="E85" s="1">
        <v>10.6</v>
      </c>
      <c r="F85" s="1">
        <v>13.9</v>
      </c>
      <c r="G85" s="1">
        <v>17.3</v>
      </c>
      <c r="H85" s="1">
        <v>19.1</v>
      </c>
      <c r="I85" s="1">
        <v>18.7</v>
      </c>
      <c r="J85" s="1">
        <v>16.2</v>
      </c>
      <c r="K85" s="1">
        <v>11.7</v>
      </c>
      <c r="L85" s="1">
        <v>7.2</v>
      </c>
      <c r="M85" s="249">
        <v>4.3</v>
      </c>
    </row>
    <row r="86" spans="1:13" ht="12.75">
      <c r="A86" s="116" t="s">
        <v>493</v>
      </c>
      <c r="B86" s="1">
        <v>2.8</v>
      </c>
      <c r="C86" s="1">
        <v>3.6</v>
      </c>
      <c r="D86" s="1">
        <v>6.2</v>
      </c>
      <c r="E86" s="1">
        <v>8.7</v>
      </c>
      <c r="F86" s="1">
        <v>12.7</v>
      </c>
      <c r="G86" s="1">
        <v>15.6</v>
      </c>
      <c r="H86" s="1">
        <v>17.3</v>
      </c>
      <c r="I86" s="1">
        <v>17.3</v>
      </c>
      <c r="J86" s="1">
        <v>14.7</v>
      </c>
      <c r="K86" s="1">
        <v>10.4</v>
      </c>
      <c r="L86" s="1">
        <v>5.9</v>
      </c>
      <c r="M86" s="249">
        <v>3.5</v>
      </c>
    </row>
    <row r="87" spans="1:13" ht="12.75">
      <c r="A87" s="116" t="s">
        <v>494</v>
      </c>
      <c r="B87" s="1">
        <v>2.3</v>
      </c>
      <c r="C87" s="1">
        <v>4</v>
      </c>
      <c r="D87" s="1">
        <v>6.9</v>
      </c>
      <c r="E87" s="1">
        <v>10.1</v>
      </c>
      <c r="F87" s="1">
        <v>14.2</v>
      </c>
      <c r="G87" s="1">
        <v>17.6</v>
      </c>
      <c r="H87" s="1">
        <v>19.8</v>
      </c>
      <c r="I87" s="1">
        <v>19.1</v>
      </c>
      <c r="J87" s="1">
        <v>15.8</v>
      </c>
      <c r="K87" s="1">
        <v>11.3</v>
      </c>
      <c r="L87" s="1">
        <v>6.5</v>
      </c>
      <c r="M87" s="249">
        <v>3.7</v>
      </c>
    </row>
    <row r="88" spans="1:13" ht="12.75">
      <c r="A88" s="116" t="s">
        <v>80</v>
      </c>
      <c r="B88" s="1">
        <v>3.5</v>
      </c>
      <c r="C88" s="1">
        <v>4</v>
      </c>
      <c r="D88" s="1">
        <v>7.1</v>
      </c>
      <c r="E88" s="1">
        <v>10.5</v>
      </c>
      <c r="F88" s="1">
        <v>13.1</v>
      </c>
      <c r="G88" s="1">
        <v>16.3</v>
      </c>
      <c r="H88" s="1">
        <v>20.6</v>
      </c>
      <c r="I88" s="1">
        <v>18.9</v>
      </c>
      <c r="J88" s="1">
        <v>16</v>
      </c>
      <c r="K88" s="1">
        <v>10.6</v>
      </c>
      <c r="L88" s="1">
        <v>4.8</v>
      </c>
      <c r="M88" s="249">
        <v>3.7</v>
      </c>
    </row>
    <row r="89" spans="1:13" ht="12.75">
      <c r="A89" s="116" t="s">
        <v>2</v>
      </c>
      <c r="B89" s="1">
        <v>3.6</v>
      </c>
      <c r="C89" s="1">
        <v>7.8</v>
      </c>
      <c r="D89" s="1">
        <v>8.6</v>
      </c>
      <c r="E89" s="1">
        <v>10.4</v>
      </c>
      <c r="F89" s="1">
        <v>13.8</v>
      </c>
      <c r="G89" s="1">
        <v>17.3</v>
      </c>
      <c r="H89" s="1">
        <v>20.7</v>
      </c>
      <c r="I89" s="1">
        <v>19</v>
      </c>
      <c r="J89" s="1">
        <v>16.8</v>
      </c>
      <c r="K89" s="1">
        <v>13</v>
      </c>
      <c r="L89" s="1">
        <v>6.7</v>
      </c>
      <c r="M89" s="249">
        <v>5.8</v>
      </c>
    </row>
    <row r="90" spans="1:13" ht="13.5" thickBot="1">
      <c r="A90" s="117" t="s">
        <v>81</v>
      </c>
      <c r="B90" s="114">
        <v>8</v>
      </c>
      <c r="C90" s="114">
        <v>9.6</v>
      </c>
      <c r="D90" s="114">
        <v>10.9</v>
      </c>
      <c r="E90" s="114">
        <v>12.7</v>
      </c>
      <c r="F90" s="114">
        <v>16.2</v>
      </c>
      <c r="G90" s="114">
        <v>19.8</v>
      </c>
      <c r="H90" s="114">
        <v>23.5</v>
      </c>
      <c r="I90" s="114">
        <v>22.4</v>
      </c>
      <c r="J90" s="114">
        <v>20</v>
      </c>
      <c r="K90" s="114">
        <v>15.9</v>
      </c>
      <c r="L90" s="114">
        <v>11.1</v>
      </c>
      <c r="M90" s="250">
        <v>8.7</v>
      </c>
    </row>
  </sheetData>
  <mergeCells count="5">
    <mergeCell ref="A30:M30"/>
    <mergeCell ref="A2:A4"/>
    <mergeCell ref="A1:M1"/>
    <mergeCell ref="A12:M12"/>
    <mergeCell ref="A6:M6"/>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D4"/>
  <sheetViews>
    <sheetView showGridLines="0" workbookViewId="0" topLeftCell="A1">
      <selection activeCell="B3" sqref="B3"/>
    </sheetView>
  </sheetViews>
  <sheetFormatPr defaultColWidth="11.421875" defaultRowHeight="12.75"/>
  <cols>
    <col min="1" max="1" width="16.8515625" style="0" bestFit="1" customWidth="1"/>
    <col min="2" max="2" width="25.8515625" style="0" customWidth="1"/>
    <col min="4" max="4" width="15.140625" style="0" bestFit="1" customWidth="1"/>
  </cols>
  <sheetData>
    <row r="1" spans="1:4" ht="19.5" thickBot="1">
      <c r="A1" s="278" t="s">
        <v>93</v>
      </c>
      <c r="B1" s="352"/>
      <c r="C1" s="352"/>
      <c r="D1" s="353"/>
    </row>
    <row r="2" spans="1:4" ht="15" customHeight="1">
      <c r="A2" s="354"/>
      <c r="B2" s="355"/>
      <c r="C2" s="355"/>
      <c r="D2" s="356"/>
    </row>
    <row r="3" spans="1:4" ht="15" customHeight="1">
      <c r="A3" s="27" t="s">
        <v>10</v>
      </c>
      <c r="B3" s="39">
        <f>4*'Logement (1)'!D6</f>
        <v>0</v>
      </c>
      <c r="C3" s="46" t="s">
        <v>12</v>
      </c>
      <c r="D3" s="47" t="str">
        <f>"("&amp;ROUND(B3/1000,3)&amp;" kW)"</f>
        <v>(0 kW)</v>
      </c>
    </row>
    <row r="4" spans="1:4" ht="15" customHeight="1" thickBot="1">
      <c r="A4" s="33" t="s">
        <v>11</v>
      </c>
      <c r="B4" s="36">
        <f>B3*24</f>
        <v>0</v>
      </c>
      <c r="C4" s="48" t="s">
        <v>12</v>
      </c>
      <c r="D4" s="49" t="str">
        <f>"("&amp;ROUND(B4/1000,3)&amp;" kW)"</f>
        <v>(0 kW)</v>
      </c>
    </row>
  </sheetData>
  <sheetProtection sheet="1" objects="1" scenarios="1" selectLockedCells="1"/>
  <mergeCells count="2">
    <mergeCell ref="A1:D1"/>
    <mergeCell ref="A2:D2"/>
  </mergeCell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L82"/>
  <sheetViews>
    <sheetView showGridLines="0" workbookViewId="0" topLeftCell="A1">
      <selection activeCell="B7" sqref="B7"/>
    </sheetView>
  </sheetViews>
  <sheetFormatPr defaultColWidth="11.421875" defaultRowHeight="12.75"/>
  <cols>
    <col min="1" max="1" width="26.7109375" style="5" customWidth="1"/>
    <col min="2" max="2" width="11.421875" style="5" customWidth="1"/>
    <col min="3" max="3" width="3.7109375" style="5" customWidth="1"/>
    <col min="4" max="4" width="21.140625" style="5" customWidth="1"/>
    <col min="5" max="5" width="11.421875" style="5" customWidth="1"/>
    <col min="6" max="6" width="3.7109375" style="5" customWidth="1"/>
    <col min="7" max="7" width="17.00390625" style="5" customWidth="1"/>
    <col min="8" max="16384" width="11.421875" style="5" customWidth="1"/>
  </cols>
  <sheetData>
    <row r="1" spans="1:7" ht="19.5" thickBot="1">
      <c r="A1" s="363" t="s">
        <v>94</v>
      </c>
      <c r="B1" s="364"/>
      <c r="C1" s="364"/>
      <c r="D1" s="364"/>
      <c r="E1" s="365"/>
      <c r="F1" s="365"/>
      <c r="G1" s="366"/>
    </row>
    <row r="2" spans="1:7" ht="15" customHeight="1">
      <c r="A2" s="360"/>
      <c r="B2" s="361"/>
      <c r="C2" s="361"/>
      <c r="D2" s="361"/>
      <c r="E2" s="361"/>
      <c r="F2" s="361"/>
      <c r="G2" s="362"/>
    </row>
    <row r="3" spans="1:7" ht="15" customHeight="1">
      <c r="A3" s="50" t="s">
        <v>6</v>
      </c>
      <c r="B3" s="51">
        <f>'Logement (1)'!$D$10</f>
        <v>0</v>
      </c>
      <c r="C3" s="52"/>
      <c r="D3" s="52" t="s">
        <v>13</v>
      </c>
      <c r="E3" s="53"/>
      <c r="F3" s="54" t="s">
        <v>4</v>
      </c>
      <c r="G3" s="316"/>
    </row>
    <row r="4" spans="1:7" ht="15" customHeight="1">
      <c r="A4" s="50" t="s">
        <v>503</v>
      </c>
      <c r="B4" s="51">
        <f>'Logement (1)'!$D$4</f>
        <v>0</v>
      </c>
      <c r="C4" s="52"/>
      <c r="D4" s="52" t="s">
        <v>66</v>
      </c>
      <c r="E4" s="52">
        <f>IF(E3="Bois",0.44,IF(E3="Métal",0.46,0.42))</f>
        <v>0.42</v>
      </c>
      <c r="F4" s="54" t="s">
        <v>4</v>
      </c>
      <c r="G4" s="316"/>
    </row>
    <row r="5" spans="1:7" ht="15" customHeight="1">
      <c r="A5" s="50"/>
      <c r="B5" s="52"/>
      <c r="C5" s="52"/>
      <c r="D5" s="52"/>
      <c r="E5" s="52"/>
      <c r="F5" s="54" t="s">
        <v>4</v>
      </c>
      <c r="G5" s="316"/>
    </row>
    <row r="6" spans="1:7" ht="15" customHeight="1">
      <c r="A6" s="310" t="s">
        <v>14</v>
      </c>
      <c r="B6" s="367"/>
      <c r="C6" s="367"/>
      <c r="D6" s="367" t="s">
        <v>19</v>
      </c>
      <c r="E6" s="367"/>
      <c r="F6" s="367"/>
      <c r="G6" s="316"/>
    </row>
    <row r="7" spans="1:12" ht="15" customHeight="1">
      <c r="A7" s="50" t="s">
        <v>15</v>
      </c>
      <c r="B7" s="42"/>
      <c r="C7" s="52" t="s">
        <v>24</v>
      </c>
      <c r="D7" s="52" t="s">
        <v>20</v>
      </c>
      <c r="E7" s="56">
        <f>B7*B22*$E$4</f>
        <v>0</v>
      </c>
      <c r="F7" s="52" t="s">
        <v>24</v>
      </c>
      <c r="G7" s="316"/>
      <c r="I7" s="8"/>
      <c r="J7" s="8"/>
      <c r="K7" s="8"/>
      <c r="L7" s="8"/>
    </row>
    <row r="8" spans="1:12" ht="15" customHeight="1">
      <c r="A8" s="50" t="s">
        <v>16</v>
      </c>
      <c r="B8" s="42"/>
      <c r="C8" s="52" t="s">
        <v>24</v>
      </c>
      <c r="D8" s="52" t="s">
        <v>21</v>
      </c>
      <c r="E8" s="56">
        <f>B8*B23*$E$4</f>
        <v>0</v>
      </c>
      <c r="F8" s="52" t="s">
        <v>24</v>
      </c>
      <c r="G8" s="316"/>
      <c r="I8" s="8"/>
      <c r="J8" s="8"/>
      <c r="K8" s="8"/>
      <c r="L8" s="8"/>
    </row>
    <row r="9" spans="1:12" ht="15" customHeight="1">
      <c r="A9" s="50" t="s">
        <v>17</v>
      </c>
      <c r="B9" s="42"/>
      <c r="C9" s="52" t="s">
        <v>24</v>
      </c>
      <c r="D9" s="52" t="s">
        <v>22</v>
      </c>
      <c r="E9" s="56">
        <f>B9*B24*$E$4</f>
        <v>0</v>
      </c>
      <c r="F9" s="52" t="s">
        <v>24</v>
      </c>
      <c r="G9" s="316"/>
      <c r="I9" s="8"/>
      <c r="J9" s="8"/>
      <c r="K9" s="8"/>
      <c r="L9" s="8"/>
    </row>
    <row r="10" spans="1:12" ht="15" customHeight="1">
      <c r="A10" s="50" t="s">
        <v>18</v>
      </c>
      <c r="B10" s="42"/>
      <c r="C10" s="52" t="s">
        <v>24</v>
      </c>
      <c r="D10" s="52" t="s">
        <v>23</v>
      </c>
      <c r="E10" s="56">
        <f>B10*B25*$E$4</f>
        <v>0</v>
      </c>
      <c r="F10" s="52" t="s">
        <v>24</v>
      </c>
      <c r="G10" s="316"/>
      <c r="I10" s="8"/>
      <c r="J10" s="8"/>
      <c r="K10" s="11"/>
      <c r="L10" s="8"/>
    </row>
    <row r="11" spans="1:12" ht="15" customHeight="1">
      <c r="A11" s="50" t="s">
        <v>45</v>
      </c>
      <c r="B11" s="42"/>
      <c r="C11" s="52" t="s">
        <v>24</v>
      </c>
      <c r="D11" s="52" t="s">
        <v>67</v>
      </c>
      <c r="E11" s="56">
        <f>B11*$E$4</f>
        <v>0</v>
      </c>
      <c r="F11" s="52" t="s">
        <v>24</v>
      </c>
      <c r="G11" s="316"/>
      <c r="I11" s="8"/>
      <c r="J11" s="8"/>
      <c r="K11" s="8"/>
      <c r="L11" s="8"/>
    </row>
    <row r="12" spans="1:12" ht="15" customHeight="1">
      <c r="A12" s="308"/>
      <c r="B12" s="350"/>
      <c r="C12" s="350"/>
      <c r="D12" s="350"/>
      <c r="E12" s="350"/>
      <c r="F12" s="350"/>
      <c r="G12" s="316"/>
      <c r="I12" s="8"/>
      <c r="J12" s="8"/>
      <c r="K12" s="12" t="s">
        <v>4</v>
      </c>
      <c r="L12" s="8"/>
    </row>
    <row r="13" spans="1:12" ht="15" customHeight="1">
      <c r="A13" s="310" t="s">
        <v>76</v>
      </c>
      <c r="B13" s="367"/>
      <c r="C13" s="367"/>
      <c r="D13" s="357" t="s">
        <v>74</v>
      </c>
      <c r="E13" s="358"/>
      <c r="F13" s="358"/>
      <c r="G13" s="359"/>
      <c r="I13" s="8"/>
      <c r="J13" s="8"/>
      <c r="K13" s="8"/>
      <c r="L13" s="8"/>
    </row>
    <row r="14" spans="1:12" ht="15" customHeight="1">
      <c r="A14" s="50" t="s">
        <v>46</v>
      </c>
      <c r="B14" s="52">
        <f>IF(AND($B$3&lt;&gt;0,$B$4&lt;&gt;0),INDEX(T!$B$14:$M$28,MATCH($B$4&amp;" "&amp;A14,T!$A$14:$A$28,0),MATCH($B$3,T!$B$13:$M$13,0)),0)</f>
        <v>0</v>
      </c>
      <c r="C14" s="52" t="s">
        <v>12</v>
      </c>
      <c r="D14" s="57" t="s">
        <v>72</v>
      </c>
      <c r="E14" s="58">
        <f>B14*E7</f>
        <v>0</v>
      </c>
      <c r="F14" s="57" t="s">
        <v>12</v>
      </c>
      <c r="G14" s="59" t="str">
        <f aca="true" t="shared" si="0" ref="G14:G19">"("&amp;ROUND(E14/1000,3)&amp;" kWh)"</f>
        <v>(0 kWh)</v>
      </c>
      <c r="I14" s="8"/>
      <c r="J14" s="8"/>
      <c r="K14" s="8"/>
      <c r="L14" s="8"/>
    </row>
    <row r="15" spans="1:12" ht="15" customHeight="1">
      <c r="A15" s="50" t="s">
        <v>47</v>
      </c>
      <c r="B15" s="52">
        <f>IF(AND($B$3&lt;&gt;0,$B$4&lt;&gt;0),INDEX(T!$B$14:$M$28,MATCH($B$4&amp;" "&amp;A15,T!$A$14:$A$28,0),MATCH($B$3,T!$B$13:$M$13,0)),0)</f>
        <v>0</v>
      </c>
      <c r="C15" s="52" t="s">
        <v>12</v>
      </c>
      <c r="D15" s="57" t="s">
        <v>71</v>
      </c>
      <c r="E15" s="58">
        <f>B15*E8</f>
        <v>0</v>
      </c>
      <c r="F15" s="57" t="s">
        <v>12</v>
      </c>
      <c r="G15" s="59" t="str">
        <f t="shared" si="0"/>
        <v>(0 kWh)</v>
      </c>
      <c r="I15" s="8"/>
      <c r="J15" s="8"/>
      <c r="K15" s="8"/>
      <c r="L15" s="8"/>
    </row>
    <row r="16" spans="1:7" ht="15" customHeight="1">
      <c r="A16" s="50" t="s">
        <v>48</v>
      </c>
      <c r="B16" s="52">
        <f>IF(AND($B$3&lt;&gt;0,$B$4&lt;&gt;0),INDEX(T!$B$14:$M$28,MATCH($B$4&amp;" "&amp;A16,T!$A$14:$A$28,0),MATCH($B$3,T!$B$13:$M$13,0)),0)</f>
        <v>0</v>
      </c>
      <c r="C16" s="52" t="s">
        <v>12</v>
      </c>
      <c r="D16" s="57" t="s">
        <v>70</v>
      </c>
      <c r="E16" s="58">
        <f>B16*E9</f>
        <v>0</v>
      </c>
      <c r="F16" s="57" t="s">
        <v>12</v>
      </c>
      <c r="G16" s="59" t="str">
        <f t="shared" si="0"/>
        <v>(0 kWh)</v>
      </c>
    </row>
    <row r="17" spans="1:7" ht="15" customHeight="1">
      <c r="A17" s="50" t="s">
        <v>49</v>
      </c>
      <c r="B17" s="52">
        <f>IF(AND($B$3&lt;&gt;0,$B$4&lt;&gt;0),INDEX(T!$B$14:$M$28,MATCH($B$4&amp;" "&amp;A17,T!$A$14:$A$28,0),MATCH($B$3,T!$B$13:$M$13,0)),0)</f>
        <v>0</v>
      </c>
      <c r="C17" s="52" t="s">
        <v>12</v>
      </c>
      <c r="D17" s="57" t="s">
        <v>69</v>
      </c>
      <c r="E17" s="58">
        <f>B17*E10</f>
        <v>0</v>
      </c>
      <c r="F17" s="57" t="s">
        <v>12</v>
      </c>
      <c r="G17" s="59" t="str">
        <f t="shared" si="0"/>
        <v>(0 kWh)</v>
      </c>
    </row>
    <row r="18" spans="1:7" ht="15" customHeight="1">
      <c r="A18" s="50" t="s">
        <v>50</v>
      </c>
      <c r="B18" s="52">
        <f>IF(AND($B$3&lt;&gt;0,$B$4&lt;&gt;0),INDEX(T!$B$14:$M$28,MATCH($B$4&amp;" "&amp;A18,T!$A$14:$A$28,0),MATCH($B$3,T!$B$13:$M$13,0)),0)</f>
        <v>0</v>
      </c>
      <c r="C18" s="52" t="s">
        <v>12</v>
      </c>
      <c r="D18" s="57" t="s">
        <v>68</v>
      </c>
      <c r="E18" s="58">
        <f>B18*E11</f>
        <v>0</v>
      </c>
      <c r="F18" s="57" t="s">
        <v>12</v>
      </c>
      <c r="G18" s="59" t="str">
        <f t="shared" si="0"/>
        <v>(0 kWh)</v>
      </c>
    </row>
    <row r="19" spans="1:7" ht="15" customHeight="1">
      <c r="A19" s="50"/>
      <c r="B19" s="52"/>
      <c r="C19" s="52"/>
      <c r="D19" s="60" t="s">
        <v>33</v>
      </c>
      <c r="E19" s="61">
        <f>SUM(E14:E18)</f>
        <v>0</v>
      </c>
      <c r="F19" s="60" t="s">
        <v>12</v>
      </c>
      <c r="G19" s="62" t="str">
        <f t="shared" si="0"/>
        <v>(0 kWh)</v>
      </c>
    </row>
    <row r="20" spans="1:7" ht="15" customHeight="1">
      <c r="A20" s="308"/>
      <c r="B20" s="350"/>
      <c r="C20" s="350"/>
      <c r="D20" s="350"/>
      <c r="E20" s="350"/>
      <c r="F20" s="350"/>
      <c r="G20" s="316"/>
    </row>
    <row r="21" spans="1:7" ht="15" customHeight="1">
      <c r="A21" s="310" t="s">
        <v>73</v>
      </c>
      <c r="B21" s="367"/>
      <c r="C21" s="367"/>
      <c r="D21" s="357" t="s">
        <v>75</v>
      </c>
      <c r="E21" s="358"/>
      <c r="F21" s="358"/>
      <c r="G21" s="359"/>
    </row>
    <row r="22" spans="1:7" ht="15" customHeight="1">
      <c r="A22" s="50" t="s">
        <v>25</v>
      </c>
      <c r="B22" s="52">
        <v>0.89</v>
      </c>
      <c r="C22" s="54" t="s">
        <v>4</v>
      </c>
      <c r="D22" s="57" t="s">
        <v>29</v>
      </c>
      <c r="E22" s="58">
        <f>E14*24</f>
        <v>0</v>
      </c>
      <c r="F22" s="57" t="s">
        <v>12</v>
      </c>
      <c r="G22" s="59" t="str">
        <f aca="true" t="shared" si="1" ref="G22:G27">"("&amp;ROUND(E22/1000,3)&amp;" kWh)"</f>
        <v>(0 kWh)</v>
      </c>
    </row>
    <row r="23" spans="1:7" ht="15" customHeight="1">
      <c r="A23" s="50" t="s">
        <v>26</v>
      </c>
      <c r="B23" s="52">
        <v>0.67</v>
      </c>
      <c r="C23" s="54" t="s">
        <v>4</v>
      </c>
      <c r="D23" s="57" t="s">
        <v>30</v>
      </c>
      <c r="E23" s="58">
        <f>E15*24</f>
        <v>0</v>
      </c>
      <c r="F23" s="57" t="s">
        <v>12</v>
      </c>
      <c r="G23" s="59" t="str">
        <f t="shared" si="1"/>
        <v>(0 kWh)</v>
      </c>
    </row>
    <row r="24" spans="1:7" ht="15" customHeight="1">
      <c r="A24" s="50" t="s">
        <v>27</v>
      </c>
      <c r="B24" s="52">
        <v>0.72</v>
      </c>
      <c r="C24" s="54" t="s">
        <v>4</v>
      </c>
      <c r="D24" s="57" t="s">
        <v>31</v>
      </c>
      <c r="E24" s="58">
        <f>E16*24</f>
        <v>0</v>
      </c>
      <c r="F24" s="57" t="s">
        <v>12</v>
      </c>
      <c r="G24" s="59" t="str">
        <f t="shared" si="1"/>
        <v>(0 kWh)</v>
      </c>
    </row>
    <row r="25" spans="1:7" ht="15" customHeight="1">
      <c r="A25" s="50" t="s">
        <v>28</v>
      </c>
      <c r="B25" s="52">
        <v>0.67</v>
      </c>
      <c r="C25" s="54" t="s">
        <v>4</v>
      </c>
      <c r="D25" s="57" t="s">
        <v>32</v>
      </c>
      <c r="E25" s="58">
        <f>E17*24</f>
        <v>0</v>
      </c>
      <c r="F25" s="57" t="s">
        <v>12</v>
      </c>
      <c r="G25" s="59" t="str">
        <f t="shared" si="1"/>
        <v>(0 kWh)</v>
      </c>
    </row>
    <row r="26" spans="1:7" ht="15" customHeight="1">
      <c r="A26" s="308"/>
      <c r="B26" s="350"/>
      <c r="C26" s="350"/>
      <c r="D26" s="57" t="s">
        <v>68</v>
      </c>
      <c r="E26" s="58">
        <f>E18*24</f>
        <v>0</v>
      </c>
      <c r="F26" s="57" t="s">
        <v>12</v>
      </c>
      <c r="G26" s="59" t="str">
        <f t="shared" si="1"/>
        <v>(0 kWh)</v>
      </c>
    </row>
    <row r="27" spans="1:7" ht="15" customHeight="1" thickBot="1">
      <c r="A27" s="341"/>
      <c r="B27" s="342"/>
      <c r="C27" s="342"/>
      <c r="D27" s="64" t="s">
        <v>33</v>
      </c>
      <c r="E27" s="65">
        <f>SUM(E22:E26)</f>
        <v>0</v>
      </c>
      <c r="F27" s="64" t="s">
        <v>12</v>
      </c>
      <c r="G27" s="66" t="str">
        <f t="shared" si="1"/>
        <v>(0 kWh)</v>
      </c>
    </row>
    <row r="28" spans="1:3" ht="12.75">
      <c r="A28" s="8"/>
      <c r="B28" s="8"/>
      <c r="C28" s="8"/>
    </row>
    <row r="31" spans="3:7" ht="12.75">
      <c r="C31" s="13"/>
      <c r="D31" s="13"/>
      <c r="E31" s="13"/>
      <c r="F31" s="22"/>
      <c r="G31" s="17"/>
    </row>
    <row r="32" spans="1:7" ht="12.75" hidden="1">
      <c r="A32" s="371" t="s">
        <v>173</v>
      </c>
      <c r="B32" s="371"/>
      <c r="C32" s="371"/>
      <c r="D32" s="371"/>
      <c r="E32" s="20"/>
      <c r="F32" s="20"/>
      <c r="G32" s="20"/>
    </row>
    <row r="33" spans="1:7" ht="12.75" hidden="1">
      <c r="A33" s="4" t="s">
        <v>171</v>
      </c>
      <c r="B33" s="10" t="str">
        <f>'Durée saison CH (5)'!D8</f>
        <v>septembre</v>
      </c>
      <c r="C33" s="4"/>
      <c r="D33" s="4"/>
      <c r="E33" s="8"/>
      <c r="F33" s="12"/>
      <c r="G33" s="21"/>
    </row>
    <row r="34" spans="1:7" ht="12.75" hidden="1">
      <c r="A34" s="372"/>
      <c r="B34" s="372"/>
      <c r="C34" s="372"/>
      <c r="D34" s="372"/>
      <c r="E34" s="20"/>
      <c r="F34" s="20"/>
      <c r="G34" s="21"/>
    </row>
    <row r="35" spans="1:7" ht="15.75" hidden="1">
      <c r="A35" s="9" t="s">
        <v>76</v>
      </c>
      <c r="B35" s="9"/>
      <c r="C35" s="9"/>
      <c r="D35" s="373"/>
      <c r="E35" s="23"/>
      <c r="F35" s="8"/>
      <c r="G35" s="21"/>
    </row>
    <row r="36" spans="1:7" ht="12.75" hidden="1">
      <c r="A36" s="4" t="s">
        <v>46</v>
      </c>
      <c r="B36" s="4">
        <f>IF(AND(B4&lt;&gt;0,B33&lt;&gt;0),INDEX(T!$B$14:$M$28,MATCH($B$4&amp;" "&amp;A36,T!$A$14:$A$28,0),MATCH($B$33,T!$B$13:$M$13,0)),0)</f>
        <v>0</v>
      </c>
      <c r="C36" s="4" t="s">
        <v>12</v>
      </c>
      <c r="D36" s="374"/>
      <c r="E36" s="23"/>
      <c r="F36" s="8"/>
      <c r="G36" s="21"/>
    </row>
    <row r="37" spans="1:7" ht="12.75" hidden="1">
      <c r="A37" s="4" t="s">
        <v>47</v>
      </c>
      <c r="B37" s="4">
        <f>IF(AND(B4&lt;&gt;0,B33&lt;&gt;0),INDEX(T!$B$14:$M$28,MATCH($B$4&amp;" "&amp;A37,T!$A$14:$A$28,0),MATCH($B$33,T!$B$13:$M$13,0)),0)</f>
        <v>0</v>
      </c>
      <c r="C37" s="4" t="s">
        <v>12</v>
      </c>
      <c r="D37" s="374"/>
      <c r="E37" s="23"/>
      <c r="F37" s="8"/>
      <c r="G37" s="21"/>
    </row>
    <row r="38" spans="1:7" ht="12.75" hidden="1">
      <c r="A38" s="4" t="s">
        <v>48</v>
      </c>
      <c r="B38" s="4">
        <f>IF(AND(B4&lt;&gt;0,B33&lt;&gt;0),INDEX(T!$B$14:$M$28,MATCH($B$4&amp;" "&amp;A38,T!$A$14:$A$28,0),MATCH($B$33,T!$B$13:$M$13,0)),0)</f>
        <v>0</v>
      </c>
      <c r="C38" s="4" t="s">
        <v>12</v>
      </c>
      <c r="D38" s="374"/>
      <c r="E38" s="23"/>
      <c r="F38" s="8"/>
      <c r="G38" s="21"/>
    </row>
    <row r="39" spans="1:7" ht="12.75" hidden="1">
      <c r="A39" s="4" t="s">
        <v>49</v>
      </c>
      <c r="B39" s="4">
        <f>IF(AND(B4&lt;&gt;0,B33&lt;&gt;0),INDEX(T!$B$14:$M$28,MATCH($B$4&amp;" "&amp;A39,T!$A$14:$A$28,0),MATCH($B$33,T!$B$13:$M$13,0)),0)</f>
        <v>0</v>
      </c>
      <c r="C39" s="4" t="s">
        <v>12</v>
      </c>
      <c r="D39" s="374"/>
      <c r="E39" s="23"/>
      <c r="F39" s="8"/>
      <c r="G39" s="21"/>
    </row>
    <row r="40" spans="1:7" ht="12.75" hidden="1">
      <c r="A40" s="4" t="s">
        <v>50</v>
      </c>
      <c r="B40" s="4">
        <f>IF(AND(B4&lt;&gt;0,B33&lt;&gt;0),INDEX(T!$B$14:$M$28,MATCH($B$4&amp;" "&amp;A40,T!$A$14:$A$28,0),MATCH($B$33,T!$B$13:$M$13,0)),0)</f>
        <v>0</v>
      </c>
      <c r="C40" s="4" t="s">
        <v>12</v>
      </c>
      <c r="D40" s="375"/>
      <c r="E40" s="21"/>
      <c r="F40" s="21"/>
      <c r="G40" s="21"/>
    </row>
    <row r="41" spans="1:7" ht="12.75" hidden="1">
      <c r="A41" s="369"/>
      <c r="B41" s="369"/>
      <c r="C41" s="369"/>
      <c r="D41" s="369"/>
      <c r="E41" s="21"/>
      <c r="F41" s="21"/>
      <c r="G41" s="21"/>
    </row>
    <row r="42" spans="1:7" ht="15.75" hidden="1">
      <c r="A42" s="368" t="s">
        <v>74</v>
      </c>
      <c r="B42" s="369"/>
      <c r="C42" s="369"/>
      <c r="D42" s="369"/>
      <c r="E42" s="8"/>
      <c r="F42" s="8"/>
      <c r="G42" s="8"/>
    </row>
    <row r="43" spans="1:7" ht="15.75" hidden="1">
      <c r="A43" s="3" t="s">
        <v>72</v>
      </c>
      <c r="B43" s="16">
        <f>B36*$E$7</f>
        <v>0</v>
      </c>
      <c r="C43" s="3" t="s">
        <v>12</v>
      </c>
      <c r="D43" s="3" t="str">
        <f aca="true" t="shared" si="2" ref="D43:D48">"("&amp;ROUND(B43/1000,3)&amp;" kWh)"</f>
        <v>(0 kWh)</v>
      </c>
      <c r="E43" s="8"/>
      <c r="F43" s="8"/>
      <c r="G43" s="8"/>
    </row>
    <row r="44" spans="1:7" ht="15.75" hidden="1">
      <c r="A44" s="3" t="s">
        <v>71</v>
      </c>
      <c r="B44" s="16">
        <f>B37*$E$8</f>
        <v>0</v>
      </c>
      <c r="C44" s="3" t="s">
        <v>12</v>
      </c>
      <c r="D44" s="3" t="str">
        <f t="shared" si="2"/>
        <v>(0 kWh)</v>
      </c>
      <c r="E44" s="8"/>
      <c r="F44" s="8"/>
      <c r="G44" s="8"/>
    </row>
    <row r="45" spans="1:7" ht="15.75" hidden="1">
      <c r="A45" s="3" t="s">
        <v>70</v>
      </c>
      <c r="B45" s="16">
        <f>B38*$E$9</f>
        <v>0</v>
      </c>
      <c r="C45" s="3" t="s">
        <v>12</v>
      </c>
      <c r="D45" s="3" t="str">
        <f t="shared" si="2"/>
        <v>(0 kWh)</v>
      </c>
      <c r="E45" s="8"/>
      <c r="F45" s="8"/>
      <c r="G45" s="8"/>
    </row>
    <row r="46" spans="1:7" ht="15.75" hidden="1">
      <c r="A46" s="3" t="s">
        <v>69</v>
      </c>
      <c r="B46" s="16">
        <f>B39*$E$10</f>
        <v>0</v>
      </c>
      <c r="C46" s="3" t="s">
        <v>12</v>
      </c>
      <c r="D46" s="3" t="str">
        <f t="shared" si="2"/>
        <v>(0 kWh)</v>
      </c>
      <c r="E46" s="8"/>
      <c r="F46" s="8"/>
      <c r="G46" s="8"/>
    </row>
    <row r="47" spans="1:7" ht="15.75" hidden="1">
      <c r="A47" s="3" t="s">
        <v>68</v>
      </c>
      <c r="B47" s="16">
        <f>B40*$E$11</f>
        <v>0</v>
      </c>
      <c r="C47" s="3" t="s">
        <v>12</v>
      </c>
      <c r="D47" s="3" t="str">
        <f t="shared" si="2"/>
        <v>(0 kWh)</v>
      </c>
      <c r="E47" s="8"/>
      <c r="F47" s="8"/>
      <c r="G47" s="8"/>
    </row>
    <row r="48" spans="1:7" ht="12.75" hidden="1">
      <c r="A48" s="3" t="s">
        <v>33</v>
      </c>
      <c r="B48" s="16">
        <f>SUM(B43:B47)</f>
        <v>0</v>
      </c>
      <c r="C48" s="3" t="s">
        <v>12</v>
      </c>
      <c r="D48" s="3" t="str">
        <f t="shared" si="2"/>
        <v>(0 kWh)</v>
      </c>
      <c r="E48" s="8"/>
      <c r="F48" s="8"/>
      <c r="G48" s="8"/>
    </row>
    <row r="49" spans="1:7" ht="12.75" hidden="1">
      <c r="A49" s="370"/>
      <c r="B49" s="370"/>
      <c r="C49" s="370"/>
      <c r="D49" s="370"/>
      <c r="E49" s="21"/>
      <c r="F49" s="21"/>
      <c r="G49" s="21"/>
    </row>
    <row r="50" spans="1:7" ht="15.75" hidden="1">
      <c r="A50" s="368" t="s">
        <v>75</v>
      </c>
      <c r="B50" s="369"/>
      <c r="C50" s="369"/>
      <c r="D50" s="369"/>
      <c r="E50" s="8"/>
      <c r="F50" s="8"/>
      <c r="G50" s="8"/>
    </row>
    <row r="51" spans="1:7" ht="15.75" hidden="1">
      <c r="A51" s="3" t="s">
        <v>29</v>
      </c>
      <c r="B51" s="16">
        <f>B43*24</f>
        <v>0</v>
      </c>
      <c r="C51" s="3" t="s">
        <v>12</v>
      </c>
      <c r="D51" s="3" t="str">
        <f aca="true" t="shared" si="3" ref="D51:D56">"("&amp;ROUND(B51/1000,3)&amp;" kWh)"</f>
        <v>(0 kWh)</v>
      </c>
      <c r="E51" s="8"/>
      <c r="F51" s="8"/>
      <c r="G51" s="8"/>
    </row>
    <row r="52" spans="1:7" ht="15.75" hidden="1">
      <c r="A52" s="3" t="s">
        <v>30</v>
      </c>
      <c r="B52" s="16">
        <f>B44*24</f>
        <v>0</v>
      </c>
      <c r="C52" s="3" t="s">
        <v>12</v>
      </c>
      <c r="D52" s="3" t="str">
        <f t="shared" si="3"/>
        <v>(0 kWh)</v>
      </c>
      <c r="E52" s="8"/>
      <c r="F52" s="8"/>
      <c r="G52" s="8"/>
    </row>
    <row r="53" spans="1:7" ht="15.75" hidden="1">
      <c r="A53" s="3" t="s">
        <v>31</v>
      </c>
      <c r="B53" s="16">
        <f>B45*24</f>
        <v>0</v>
      </c>
      <c r="C53" s="3" t="s">
        <v>12</v>
      </c>
      <c r="D53" s="3" t="str">
        <f t="shared" si="3"/>
        <v>(0 kWh)</v>
      </c>
      <c r="E53" s="8"/>
      <c r="F53" s="8"/>
      <c r="G53" s="8"/>
    </row>
    <row r="54" spans="1:7" ht="15.75" hidden="1">
      <c r="A54" s="3" t="s">
        <v>32</v>
      </c>
      <c r="B54" s="16">
        <f>B46*24</f>
        <v>0</v>
      </c>
      <c r="C54" s="3" t="s">
        <v>12</v>
      </c>
      <c r="D54" s="3" t="str">
        <f t="shared" si="3"/>
        <v>(0 kWh)</v>
      </c>
      <c r="E54" s="8"/>
      <c r="F54" s="8"/>
      <c r="G54" s="8"/>
    </row>
    <row r="55" spans="1:7" ht="15.75" hidden="1">
      <c r="A55" s="3" t="s">
        <v>68</v>
      </c>
      <c r="B55" s="16">
        <f>B47*24</f>
        <v>0</v>
      </c>
      <c r="C55" s="3" t="s">
        <v>12</v>
      </c>
      <c r="D55" s="3" t="str">
        <f t="shared" si="3"/>
        <v>(0 kWh)</v>
      </c>
      <c r="E55" s="8"/>
      <c r="F55" s="8"/>
      <c r="G55" s="8"/>
    </row>
    <row r="56" spans="1:7" ht="12.75" hidden="1">
      <c r="A56" s="3" t="s">
        <v>33</v>
      </c>
      <c r="B56" s="16">
        <f>SUM(B51:B55)</f>
        <v>0</v>
      </c>
      <c r="C56" s="3" t="s">
        <v>12</v>
      </c>
      <c r="D56" s="3" t="str">
        <f t="shared" si="3"/>
        <v>(0 kWh)</v>
      </c>
      <c r="E56" s="8"/>
      <c r="F56" s="8"/>
      <c r="G56" s="8"/>
    </row>
    <row r="57" spans="1:4" ht="12.75" hidden="1">
      <c r="A57" s="334"/>
      <c r="B57" s="334"/>
      <c r="C57" s="334"/>
      <c r="D57" s="334"/>
    </row>
    <row r="58" spans="1:4" ht="12.75" hidden="1">
      <c r="A58" s="371" t="s">
        <v>174</v>
      </c>
      <c r="B58" s="371"/>
      <c r="C58" s="371"/>
      <c r="D58" s="371"/>
    </row>
    <row r="59" spans="1:4" ht="12.75" hidden="1">
      <c r="A59" s="4" t="s">
        <v>172</v>
      </c>
      <c r="B59" s="10" t="str">
        <f>'Durée saison CH (5)'!D19</f>
        <v>mai</v>
      </c>
      <c r="C59" s="4"/>
      <c r="D59" s="4"/>
    </row>
    <row r="60" spans="1:4" ht="12.75" hidden="1">
      <c r="A60" s="372"/>
      <c r="B60" s="372"/>
      <c r="C60" s="372"/>
      <c r="D60" s="372"/>
    </row>
    <row r="61" spans="1:4" ht="15.75" hidden="1">
      <c r="A61" s="9" t="s">
        <v>76</v>
      </c>
      <c r="B61" s="9"/>
      <c r="C61" s="9"/>
      <c r="D61" s="373"/>
    </row>
    <row r="62" spans="1:4" ht="12.75" hidden="1">
      <c r="A62" s="4" t="s">
        <v>46</v>
      </c>
      <c r="B62" s="4">
        <f>IF(AND(B4&lt;&gt;0,B59&lt;&gt;0),INDEX(T!$B$14:$M$28,MATCH($B$4&amp;" "&amp;A62,T!$A$14:$A$28,0),MATCH($B$59,T!$B$13:$M$13,0)),0)</f>
        <v>0</v>
      </c>
      <c r="C62" s="4" t="s">
        <v>12</v>
      </c>
      <c r="D62" s="374"/>
    </row>
    <row r="63" spans="1:4" ht="12.75" hidden="1">
      <c r="A63" s="4" t="s">
        <v>47</v>
      </c>
      <c r="B63" s="4">
        <f>IF(AND(B4&lt;&gt;0,B59&lt;&gt;0),INDEX(T!$B$14:$M$28,MATCH($B$4&amp;" "&amp;A63,T!$A$14:$A$28,0),MATCH($B$59,T!$B$13:$M$13,0)),0)</f>
        <v>0</v>
      </c>
      <c r="C63" s="4" t="s">
        <v>12</v>
      </c>
      <c r="D63" s="374"/>
    </row>
    <row r="64" spans="1:4" ht="12.75" hidden="1">
      <c r="A64" s="4" t="s">
        <v>48</v>
      </c>
      <c r="B64" s="4">
        <f>IF(AND(B4&lt;&gt;0,B59&lt;&gt;0),INDEX(T!$B$14:$M$28,MATCH($B$4&amp;" "&amp;A64,T!$A$14:$A$28,0),MATCH($B$59,T!$B$13:$M$13,0)),0)</f>
        <v>0</v>
      </c>
      <c r="C64" s="4" t="s">
        <v>12</v>
      </c>
      <c r="D64" s="374"/>
    </row>
    <row r="65" spans="1:4" ht="12.75" hidden="1">
      <c r="A65" s="4" t="s">
        <v>49</v>
      </c>
      <c r="B65" s="4">
        <f>IF(AND(B4&lt;&gt;0,B59&lt;&gt;0),INDEX(T!$B$14:$M$28,MATCH($B$4&amp;" "&amp;A65,T!$A$14:$A$28,0),MATCH($B$59,T!$B$13:$M$13,0)),0)</f>
        <v>0</v>
      </c>
      <c r="C65" s="4" t="s">
        <v>12</v>
      </c>
      <c r="D65" s="374"/>
    </row>
    <row r="66" spans="1:4" ht="12.75" hidden="1">
      <c r="A66" s="4" t="s">
        <v>50</v>
      </c>
      <c r="B66" s="4">
        <f>IF(AND(B4&lt;&gt;0,B59&lt;&gt;0),INDEX(T!$B$14:$M$28,MATCH($B$4&amp;" "&amp;A66,T!$A$14:$A$28,0),MATCH($B$59,T!$B$13:$M$13,0)),0)</f>
        <v>0</v>
      </c>
      <c r="C66" s="4" t="s">
        <v>12</v>
      </c>
      <c r="D66" s="375"/>
    </row>
    <row r="67" spans="1:4" ht="12.75" hidden="1">
      <c r="A67" s="369"/>
      <c r="B67" s="369"/>
      <c r="C67" s="369"/>
      <c r="D67" s="369"/>
    </row>
    <row r="68" spans="1:4" ht="15.75" hidden="1">
      <c r="A68" s="368" t="s">
        <v>74</v>
      </c>
      <c r="B68" s="369"/>
      <c r="C68" s="369"/>
      <c r="D68" s="369"/>
    </row>
    <row r="69" spans="1:4" ht="15.75" hidden="1">
      <c r="A69" s="3" t="s">
        <v>72</v>
      </c>
      <c r="B69" s="16">
        <f>B62*$E$7</f>
        <v>0</v>
      </c>
      <c r="C69" s="3" t="s">
        <v>12</v>
      </c>
      <c r="D69" s="3" t="str">
        <f aca="true" t="shared" si="4" ref="D69:D74">"("&amp;ROUND(B69/1000,3)&amp;" kWh)"</f>
        <v>(0 kWh)</v>
      </c>
    </row>
    <row r="70" spans="1:4" ht="15.75" hidden="1">
      <c r="A70" s="3" t="s">
        <v>71</v>
      </c>
      <c r="B70" s="16">
        <f>B63*$E$8</f>
        <v>0</v>
      </c>
      <c r="C70" s="3" t="s">
        <v>12</v>
      </c>
      <c r="D70" s="3" t="str">
        <f t="shared" si="4"/>
        <v>(0 kWh)</v>
      </c>
    </row>
    <row r="71" spans="1:4" ht="15.75" hidden="1">
      <c r="A71" s="3" t="s">
        <v>70</v>
      </c>
      <c r="B71" s="16">
        <f>B64*$E$9</f>
        <v>0</v>
      </c>
      <c r="C71" s="3" t="s">
        <v>12</v>
      </c>
      <c r="D71" s="3" t="str">
        <f t="shared" si="4"/>
        <v>(0 kWh)</v>
      </c>
    </row>
    <row r="72" spans="1:4" ht="15.75" hidden="1">
      <c r="A72" s="3" t="s">
        <v>69</v>
      </c>
      <c r="B72" s="16">
        <f>B65*$E$10</f>
        <v>0</v>
      </c>
      <c r="C72" s="3" t="s">
        <v>12</v>
      </c>
      <c r="D72" s="3" t="str">
        <f t="shared" si="4"/>
        <v>(0 kWh)</v>
      </c>
    </row>
    <row r="73" spans="1:4" ht="15.75" hidden="1">
      <c r="A73" s="3" t="s">
        <v>68</v>
      </c>
      <c r="B73" s="16">
        <f>B66*$E$11</f>
        <v>0</v>
      </c>
      <c r="C73" s="3" t="s">
        <v>12</v>
      </c>
      <c r="D73" s="3" t="str">
        <f t="shared" si="4"/>
        <v>(0 kWh)</v>
      </c>
    </row>
    <row r="74" spans="1:4" ht="12.75" hidden="1">
      <c r="A74" s="3" t="s">
        <v>33</v>
      </c>
      <c r="B74" s="16">
        <f>SUM(B69:B73)</f>
        <v>0</v>
      </c>
      <c r="C74" s="3" t="s">
        <v>12</v>
      </c>
      <c r="D74" s="3" t="str">
        <f t="shared" si="4"/>
        <v>(0 kWh)</v>
      </c>
    </row>
    <row r="75" spans="1:4" ht="12.75" hidden="1">
      <c r="A75" s="370"/>
      <c r="B75" s="370"/>
      <c r="C75" s="370"/>
      <c r="D75" s="370"/>
    </row>
    <row r="76" spans="1:4" ht="15.75" hidden="1">
      <c r="A76" s="368" t="s">
        <v>75</v>
      </c>
      <c r="B76" s="369"/>
      <c r="C76" s="369"/>
      <c r="D76" s="369"/>
    </row>
    <row r="77" spans="1:4" ht="15.75" hidden="1">
      <c r="A77" s="3" t="s">
        <v>29</v>
      </c>
      <c r="B77" s="16">
        <f>B69*24</f>
        <v>0</v>
      </c>
      <c r="C77" s="3" t="s">
        <v>12</v>
      </c>
      <c r="D77" s="3" t="str">
        <f aca="true" t="shared" si="5" ref="D77:D82">"("&amp;ROUND(B77/1000,3)&amp;" kWh)"</f>
        <v>(0 kWh)</v>
      </c>
    </row>
    <row r="78" spans="1:4" ht="15.75" hidden="1">
      <c r="A78" s="3" t="s">
        <v>30</v>
      </c>
      <c r="B78" s="16">
        <f>B70*24</f>
        <v>0</v>
      </c>
      <c r="C78" s="3" t="s">
        <v>12</v>
      </c>
      <c r="D78" s="3" t="str">
        <f t="shared" si="5"/>
        <v>(0 kWh)</v>
      </c>
    </row>
    <row r="79" spans="1:4" ht="15.75" hidden="1">
      <c r="A79" s="3" t="s">
        <v>31</v>
      </c>
      <c r="B79" s="16">
        <f>B71*24</f>
        <v>0</v>
      </c>
      <c r="C79" s="3" t="s">
        <v>12</v>
      </c>
      <c r="D79" s="3" t="str">
        <f t="shared" si="5"/>
        <v>(0 kWh)</v>
      </c>
    </row>
    <row r="80" spans="1:4" ht="15.75" hidden="1">
      <c r="A80" s="3" t="s">
        <v>32</v>
      </c>
      <c r="B80" s="16">
        <f>B72*24</f>
        <v>0</v>
      </c>
      <c r="C80" s="3" t="s">
        <v>12</v>
      </c>
      <c r="D80" s="3" t="str">
        <f t="shared" si="5"/>
        <v>(0 kWh)</v>
      </c>
    </row>
    <row r="81" spans="1:4" ht="15.75" hidden="1">
      <c r="A81" s="3" t="s">
        <v>68</v>
      </c>
      <c r="B81" s="16">
        <f>B73*24</f>
        <v>0</v>
      </c>
      <c r="C81" s="3" t="s">
        <v>12</v>
      </c>
      <c r="D81" s="3" t="str">
        <f t="shared" si="5"/>
        <v>(0 kWh)</v>
      </c>
    </row>
    <row r="82" spans="1:4" ht="12.75" hidden="1">
      <c r="A82" s="3" t="s">
        <v>33</v>
      </c>
      <c r="B82" s="16">
        <f>SUM(B77:B81)</f>
        <v>0</v>
      </c>
      <c r="C82" s="3" t="s">
        <v>12</v>
      </c>
      <c r="D82" s="3" t="str">
        <f t="shared" si="5"/>
        <v>(0 kWh)</v>
      </c>
    </row>
  </sheetData>
  <sheetProtection sheet="1" objects="1" scenarios="1" selectLockedCells="1"/>
  <mergeCells count="27">
    <mergeCell ref="A42:D42"/>
    <mergeCell ref="A50:D50"/>
    <mergeCell ref="A32:D32"/>
    <mergeCell ref="A34:D34"/>
    <mergeCell ref="A41:D41"/>
    <mergeCell ref="A49:D49"/>
    <mergeCell ref="D35:D40"/>
    <mergeCell ref="A68:D68"/>
    <mergeCell ref="A75:D75"/>
    <mergeCell ref="A76:D76"/>
    <mergeCell ref="A57:D57"/>
    <mergeCell ref="A58:D58"/>
    <mergeCell ref="A60:D60"/>
    <mergeCell ref="D61:D66"/>
    <mergeCell ref="A67:D67"/>
    <mergeCell ref="A1:G1"/>
    <mergeCell ref="A6:C6"/>
    <mergeCell ref="A21:C21"/>
    <mergeCell ref="D6:F6"/>
    <mergeCell ref="A13:C13"/>
    <mergeCell ref="A26:C27"/>
    <mergeCell ref="D13:G13"/>
    <mergeCell ref="D21:G21"/>
    <mergeCell ref="A2:G2"/>
    <mergeCell ref="A12:G12"/>
    <mergeCell ref="G3:G11"/>
    <mergeCell ref="A20:G20"/>
  </mergeCells>
  <dataValidations count="2">
    <dataValidation type="list" allowBlank="1" showInputMessage="1" showErrorMessage="1" sqref="E31 E3">
      <formula1>"Bois,Métal,PVC"</formula1>
    </dataValidation>
    <dataValidation allowBlank="1" showInputMessage="1" showErrorMessage="1" errorTitle="Zone d'hiver." error="Le choix est à faire seulement dans la liste !" sqref="B4"/>
  </dataValidations>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sheetPr codeName="Feuil4"/>
  <dimension ref="A1:O357"/>
  <sheetViews>
    <sheetView showGridLines="0" workbookViewId="0" topLeftCell="A1">
      <selection activeCell="C9" sqref="C9"/>
    </sheetView>
  </sheetViews>
  <sheetFormatPr defaultColWidth="11.421875" defaultRowHeight="12.75"/>
  <cols>
    <col min="1" max="1" width="53.8515625" style="5" customWidth="1"/>
    <col min="2" max="2" width="23.57421875" style="5" customWidth="1"/>
    <col min="3" max="4" width="11.421875" style="5" customWidth="1"/>
    <col min="5" max="5" width="62.28125" style="5" customWidth="1"/>
    <col min="6" max="6" width="12.140625" style="5" customWidth="1"/>
    <col min="7" max="7" width="4.421875" style="5" customWidth="1"/>
    <col min="8" max="8" width="16.00390625" style="5" customWidth="1"/>
    <col min="9" max="9" width="27.00390625" style="5" customWidth="1"/>
    <col min="10" max="10" width="32.00390625" style="5" customWidth="1"/>
    <col min="11" max="11" width="5.7109375" style="5" customWidth="1"/>
    <col min="12" max="12" width="23.140625" style="160" customWidth="1"/>
    <col min="13" max="15" width="11.421875" style="160" customWidth="1"/>
    <col min="16" max="16384" width="11.421875" style="5" customWidth="1"/>
  </cols>
  <sheetData>
    <row r="1" spans="1:12" ht="15" customHeight="1" thickBot="1">
      <c r="A1" s="419" t="s">
        <v>115</v>
      </c>
      <c r="B1" s="420"/>
      <c r="C1" s="420"/>
      <c r="D1" s="420"/>
      <c r="E1" s="420"/>
      <c r="F1" s="382"/>
      <c r="G1" s="382"/>
      <c r="H1" s="383"/>
      <c r="I1" s="156"/>
      <c r="J1" s="157"/>
      <c r="K1" s="158"/>
      <c r="L1" s="159"/>
    </row>
    <row r="2" spans="1:12" ht="15" customHeight="1">
      <c r="A2" s="421"/>
      <c r="B2" s="422"/>
      <c r="C2" s="422"/>
      <c r="D2" s="422"/>
      <c r="E2" s="423"/>
      <c r="F2" s="423"/>
      <c r="G2" s="423"/>
      <c r="H2" s="424"/>
      <c r="I2" s="157"/>
      <c r="J2" s="157"/>
      <c r="K2" s="158"/>
      <c r="L2" s="159"/>
    </row>
    <row r="3" spans="1:12" ht="15" customHeight="1">
      <c r="A3" s="376" t="s">
        <v>504</v>
      </c>
      <c r="B3" s="350"/>
      <c r="C3" s="85">
        <f>'Logement (1)'!D3</f>
        <v>0</v>
      </c>
      <c r="D3" s="54" t="s">
        <v>4</v>
      </c>
      <c r="E3" s="350"/>
      <c r="F3" s="350"/>
      <c r="G3" s="350"/>
      <c r="H3" s="316"/>
      <c r="I3" s="157"/>
      <c r="J3" s="157"/>
      <c r="K3" s="158"/>
      <c r="L3" s="159"/>
    </row>
    <row r="4" spans="1:12" ht="15" customHeight="1">
      <c r="A4" s="376" t="s">
        <v>78</v>
      </c>
      <c r="B4" s="350"/>
      <c r="C4" s="85">
        <f>'Logement (1)'!$D$10</f>
        <v>0</v>
      </c>
      <c r="D4" s="54" t="s">
        <v>4</v>
      </c>
      <c r="E4" s="350"/>
      <c r="F4" s="350"/>
      <c r="G4" s="350"/>
      <c r="H4" s="316"/>
      <c r="I4" s="157"/>
      <c r="J4" s="157"/>
      <c r="K4" s="158"/>
      <c r="L4" s="159"/>
    </row>
    <row r="5" spans="1:12" ht="15" customHeight="1">
      <c r="A5" s="376" t="s">
        <v>170</v>
      </c>
      <c r="B5" s="350"/>
      <c r="C5" s="161">
        <f>'Logement (1)'!$E$45</f>
        <v>0</v>
      </c>
      <c r="D5" s="52" t="s">
        <v>8</v>
      </c>
      <c r="E5" s="350"/>
      <c r="F5" s="350"/>
      <c r="G5" s="350"/>
      <c r="H5" s="316"/>
      <c r="I5" s="157"/>
      <c r="J5" s="157"/>
      <c r="K5" s="158"/>
      <c r="L5" s="159"/>
    </row>
    <row r="6" spans="1:12" ht="15" customHeight="1">
      <c r="A6" s="376" t="s">
        <v>247</v>
      </c>
      <c r="B6" s="350"/>
      <c r="C6" s="161">
        <f>'Logement (1)'!$E$43</f>
        <v>0</v>
      </c>
      <c r="D6" s="52" t="s">
        <v>7</v>
      </c>
      <c r="E6" s="350"/>
      <c r="F6" s="350"/>
      <c r="G6" s="350"/>
      <c r="H6" s="316"/>
      <c r="I6" s="157"/>
      <c r="J6" s="157"/>
      <c r="K6" s="158"/>
      <c r="L6" s="159"/>
    </row>
    <row r="7" spans="1:12" ht="15" customHeight="1">
      <c r="A7" s="376" t="str">
        <f>"Température moyenne du mois "&amp;IF(OR(C4="avril",C4="août",C4="octobre"),"d'","de ")&amp;IF($C$4&lt;&gt;0,$C$4,"")&amp;" :"</f>
        <v>Température moyenne du mois de  :</v>
      </c>
      <c r="B7" s="350"/>
      <c r="C7" s="162" t="e">
        <f>'Logement (1)'!D11</f>
        <v>#N/A</v>
      </c>
      <c r="D7" s="52" t="s">
        <v>7</v>
      </c>
      <c r="E7" s="350"/>
      <c r="F7" s="350"/>
      <c r="G7" s="350"/>
      <c r="H7" s="316"/>
      <c r="I7" s="157"/>
      <c r="J7" s="157"/>
      <c r="K7" s="158"/>
      <c r="L7" s="159"/>
    </row>
    <row r="8" spans="1:12" ht="15" customHeight="1">
      <c r="A8" s="308"/>
      <c r="B8" s="350"/>
      <c r="C8" s="350"/>
      <c r="D8" s="350"/>
      <c r="E8" s="350"/>
      <c r="F8" s="350"/>
      <c r="G8" s="350"/>
      <c r="H8" s="316"/>
      <c r="I8" s="157"/>
      <c r="J8" s="157"/>
      <c r="K8" s="158"/>
      <c r="L8" s="159"/>
    </row>
    <row r="9" spans="1:12" ht="15" customHeight="1">
      <c r="A9" s="308" t="s">
        <v>99</v>
      </c>
      <c r="B9" s="350"/>
      <c r="C9" s="68"/>
      <c r="D9" s="52" t="s">
        <v>7</v>
      </c>
      <c r="E9" s="350"/>
      <c r="F9" s="350"/>
      <c r="G9" s="350"/>
      <c r="H9" s="316"/>
      <c r="I9" s="157"/>
      <c r="J9" s="157"/>
      <c r="K9" s="158"/>
      <c r="L9" s="159"/>
    </row>
    <row r="10" spans="1:12" ht="15" customHeight="1">
      <c r="A10" s="308" t="s">
        <v>131</v>
      </c>
      <c r="B10" s="350"/>
      <c r="C10" s="74">
        <f>'Logement (1)'!D8</f>
        <v>0</v>
      </c>
      <c r="D10" s="54" t="s">
        <v>4</v>
      </c>
      <c r="E10" s="350"/>
      <c r="F10" s="350"/>
      <c r="G10" s="350"/>
      <c r="H10" s="316"/>
      <c r="I10" s="157"/>
      <c r="J10" s="157"/>
      <c r="K10" s="158"/>
      <c r="L10" s="159"/>
    </row>
    <row r="11" spans="1:12" ht="15" customHeight="1">
      <c r="A11" s="308" t="str">
        <f>"Température moyenne des locaux non chauffés pour le mois "&amp;IF(OR($C$4="avril",$C$4="août",$C$4="octobre"),"d'","de ")&amp;IF($C$4&lt;&gt;0,$C$4,"")&amp;" :"</f>
        <v>Température moyenne des locaux non chauffés pour le mois de  :</v>
      </c>
      <c r="B11" s="350"/>
      <c r="C11" s="109" t="e">
        <f>IF(C7&lt;&gt;"",$C$6-$C$10*($C$6-C7),"")</f>
        <v>#N/A</v>
      </c>
      <c r="D11" s="52" t="s">
        <v>7</v>
      </c>
      <c r="E11" s="350"/>
      <c r="F11" s="350"/>
      <c r="G11" s="350"/>
      <c r="H11" s="316"/>
      <c r="I11" s="163"/>
      <c r="J11" s="163"/>
      <c r="K11" s="158"/>
      <c r="L11" s="159"/>
    </row>
    <row r="12" spans="1:12" ht="15" customHeight="1" thickBot="1">
      <c r="A12" s="425"/>
      <c r="B12" s="415"/>
      <c r="C12" s="415"/>
      <c r="D12" s="415"/>
      <c r="E12" s="415"/>
      <c r="F12" s="415"/>
      <c r="G12" s="415"/>
      <c r="H12" s="426"/>
      <c r="I12" s="163"/>
      <c r="J12" s="163"/>
      <c r="K12" s="158"/>
      <c r="L12" s="159"/>
    </row>
    <row r="13" spans="1:12" ht="15" customHeight="1">
      <c r="A13" s="301" t="s">
        <v>299</v>
      </c>
      <c r="B13" s="388"/>
      <c r="C13" s="388"/>
      <c r="D13" s="388"/>
      <c r="E13" s="388"/>
      <c r="F13" s="388"/>
      <c r="G13" s="285"/>
      <c r="H13" s="286"/>
      <c r="I13" s="165"/>
      <c r="J13" s="165"/>
      <c r="K13" s="158"/>
      <c r="L13" s="159"/>
    </row>
    <row r="14" spans="1:12" ht="15" customHeight="1">
      <c r="A14" s="308"/>
      <c r="B14" s="350"/>
      <c r="C14" s="350"/>
      <c r="D14" s="350"/>
      <c r="E14" s="350"/>
      <c r="F14" s="350"/>
      <c r="G14" s="350"/>
      <c r="H14" s="316"/>
      <c r="I14" s="165"/>
      <c r="J14" s="165"/>
      <c r="K14" s="158"/>
      <c r="L14" s="159"/>
    </row>
    <row r="15" spans="1:12" ht="15" customHeight="1">
      <c r="A15" s="308" t="s">
        <v>507</v>
      </c>
      <c r="B15" s="350"/>
      <c r="C15" s="42"/>
      <c r="D15" s="54" t="s">
        <v>4</v>
      </c>
      <c r="E15" s="350"/>
      <c r="F15" s="350"/>
      <c r="G15" s="350"/>
      <c r="H15" s="316"/>
      <c r="I15" s="165"/>
      <c r="J15" s="165"/>
      <c r="K15" s="158"/>
      <c r="L15" s="159"/>
    </row>
    <row r="16" spans="1:12" ht="15" customHeight="1">
      <c r="A16" s="349" t="s">
        <v>234</v>
      </c>
      <c r="B16" s="350"/>
      <c r="C16" s="69"/>
      <c r="D16" s="52" t="s">
        <v>97</v>
      </c>
      <c r="E16" s="350"/>
      <c r="F16" s="350"/>
      <c r="G16" s="350"/>
      <c r="H16" s="316"/>
      <c r="I16" s="165"/>
      <c r="J16" s="165"/>
      <c r="K16" s="158"/>
      <c r="L16" s="159"/>
    </row>
    <row r="17" spans="1:12" ht="15" customHeight="1">
      <c r="A17" s="349" t="s">
        <v>235</v>
      </c>
      <c r="B17" s="350"/>
      <c r="C17" s="69"/>
      <c r="D17" s="52" t="s">
        <v>97</v>
      </c>
      <c r="E17" s="350"/>
      <c r="F17" s="350"/>
      <c r="G17" s="350"/>
      <c r="H17" s="316"/>
      <c r="I17" s="165"/>
      <c r="J17" s="165"/>
      <c r="K17" s="158"/>
      <c r="L17" s="159"/>
    </row>
    <row r="18" spans="1:12" ht="15" customHeight="1">
      <c r="A18" s="308" t="s">
        <v>96</v>
      </c>
      <c r="B18" s="350"/>
      <c r="C18" s="42"/>
      <c r="D18" s="52" t="s">
        <v>97</v>
      </c>
      <c r="E18" s="350"/>
      <c r="F18" s="350"/>
      <c r="G18" s="350"/>
      <c r="H18" s="316"/>
      <c r="I18" s="165"/>
      <c r="J18" s="165"/>
      <c r="K18" s="158"/>
      <c r="L18" s="159"/>
    </row>
    <row r="19" spans="1:12" ht="15" customHeight="1">
      <c r="A19" s="308" t="s">
        <v>98</v>
      </c>
      <c r="B19" s="350"/>
      <c r="C19" s="42"/>
      <c r="D19" s="52" t="s">
        <v>97</v>
      </c>
      <c r="E19" s="350"/>
      <c r="F19" s="350"/>
      <c r="G19" s="350"/>
      <c r="H19" s="316"/>
      <c r="I19" s="165"/>
      <c r="J19" s="165"/>
      <c r="K19" s="158"/>
      <c r="L19" s="159"/>
    </row>
    <row r="20" spans="1:12" ht="15" customHeight="1">
      <c r="A20" s="308" t="s">
        <v>239</v>
      </c>
      <c r="B20" s="350"/>
      <c r="C20" s="88">
        <f>($C$16/2)^2*3.28*$C$18*1000</f>
        <v>0</v>
      </c>
      <c r="D20" s="52" t="s">
        <v>77</v>
      </c>
      <c r="E20" s="350"/>
      <c r="F20" s="350"/>
      <c r="G20" s="350"/>
      <c r="H20" s="316"/>
      <c r="I20" s="165"/>
      <c r="J20" s="165"/>
      <c r="K20" s="158"/>
      <c r="L20" s="159"/>
    </row>
    <row r="21" spans="1:12" ht="15" customHeight="1" thickBot="1">
      <c r="A21" s="341" t="s">
        <v>240</v>
      </c>
      <c r="B21" s="342"/>
      <c r="C21" s="166">
        <f>($C$17/2)^2*3.28*$C$19*1000</f>
        <v>0</v>
      </c>
      <c r="D21" s="63" t="s">
        <v>77</v>
      </c>
      <c r="E21" s="342"/>
      <c r="F21" s="342"/>
      <c r="G21" s="342"/>
      <c r="H21" s="315"/>
      <c r="I21" s="165"/>
      <c r="J21" s="165"/>
      <c r="K21" s="158"/>
      <c r="L21" s="159"/>
    </row>
    <row r="22" spans="1:12" ht="15" customHeight="1" thickBot="1">
      <c r="A22" s="384"/>
      <c r="B22" s="385"/>
      <c r="C22" s="385"/>
      <c r="D22" s="385"/>
      <c r="E22" s="385"/>
      <c r="F22" s="385"/>
      <c r="G22" s="385"/>
      <c r="H22" s="386"/>
      <c r="I22" s="165"/>
      <c r="J22" s="165"/>
      <c r="K22" s="158"/>
      <c r="L22" s="159"/>
    </row>
    <row r="23" spans="1:12" ht="15" customHeight="1">
      <c r="A23" s="301" t="s">
        <v>300</v>
      </c>
      <c r="B23" s="388"/>
      <c r="C23" s="388"/>
      <c r="D23" s="388"/>
      <c r="E23" s="388"/>
      <c r="F23" s="388"/>
      <c r="G23" s="285"/>
      <c r="H23" s="286"/>
      <c r="I23" s="165"/>
      <c r="J23" s="165"/>
      <c r="K23" s="158"/>
      <c r="L23" s="159"/>
    </row>
    <row r="24" spans="1:15" s="171" customFormat="1" ht="15" customHeight="1">
      <c r="A24" s="137" t="s">
        <v>233</v>
      </c>
      <c r="B24" s="201"/>
      <c r="C24" s="389"/>
      <c r="D24" s="389"/>
      <c r="E24" s="389"/>
      <c r="F24" s="350"/>
      <c r="G24" s="350"/>
      <c r="H24" s="316"/>
      <c r="I24" s="169"/>
      <c r="J24" s="169"/>
      <c r="K24" s="158"/>
      <c r="L24" s="159"/>
      <c r="M24" s="170"/>
      <c r="N24" s="170"/>
      <c r="O24" s="170"/>
    </row>
    <row r="25" spans="1:12" ht="15" customHeight="1">
      <c r="A25" s="50" t="s">
        <v>236</v>
      </c>
      <c r="B25" s="71"/>
      <c r="C25" s="42"/>
      <c r="D25" s="52" t="s">
        <v>12</v>
      </c>
      <c r="E25" s="390" t="s">
        <v>508</v>
      </c>
      <c r="F25" s="391"/>
      <c r="G25" s="391"/>
      <c r="H25" s="392"/>
      <c r="I25" s="169"/>
      <c r="J25" s="169"/>
      <c r="K25" s="158"/>
      <c r="L25" s="159"/>
    </row>
    <row r="26" spans="1:12" ht="15" customHeight="1">
      <c r="A26" s="349" t="s">
        <v>234</v>
      </c>
      <c r="B26" s="350"/>
      <c r="C26" s="42"/>
      <c r="D26" s="52" t="s">
        <v>97</v>
      </c>
      <c r="E26" s="391"/>
      <c r="F26" s="391"/>
      <c r="G26" s="391"/>
      <c r="H26" s="392"/>
      <c r="I26" s="169"/>
      <c r="J26" s="169"/>
      <c r="K26" s="158"/>
      <c r="L26" s="159"/>
    </row>
    <row r="27" spans="1:12" ht="15" customHeight="1">
      <c r="A27" s="349" t="s">
        <v>235</v>
      </c>
      <c r="B27" s="350"/>
      <c r="C27" s="42"/>
      <c r="D27" s="52" t="s">
        <v>97</v>
      </c>
      <c r="E27" s="391"/>
      <c r="F27" s="391"/>
      <c r="G27" s="391"/>
      <c r="H27" s="392"/>
      <c r="I27" s="169"/>
      <c r="J27" s="169"/>
      <c r="K27" s="158"/>
      <c r="L27" s="159"/>
    </row>
    <row r="28" spans="1:12" ht="15" customHeight="1">
      <c r="A28" s="308" t="s">
        <v>237</v>
      </c>
      <c r="B28" s="350"/>
      <c r="C28" s="42"/>
      <c r="D28" s="52" t="s">
        <v>97</v>
      </c>
      <c r="E28" s="391"/>
      <c r="F28" s="391"/>
      <c r="G28" s="391"/>
      <c r="H28" s="392"/>
      <c r="I28" s="169"/>
      <c r="J28" s="169"/>
      <c r="K28" s="158"/>
      <c r="L28" s="159"/>
    </row>
    <row r="29" spans="1:12" ht="15" customHeight="1">
      <c r="A29" s="308" t="s">
        <v>238</v>
      </c>
      <c r="B29" s="350"/>
      <c r="C29" s="42"/>
      <c r="D29" s="52" t="s">
        <v>97</v>
      </c>
      <c r="E29" s="391"/>
      <c r="F29" s="391"/>
      <c r="G29" s="391"/>
      <c r="H29" s="392"/>
      <c r="I29" s="169"/>
      <c r="J29" s="169"/>
      <c r="K29" s="158"/>
      <c r="L29" s="159"/>
    </row>
    <row r="30" spans="1:12" ht="15" customHeight="1">
      <c r="A30" s="349" t="s">
        <v>104</v>
      </c>
      <c r="B30" s="350"/>
      <c r="C30" s="42"/>
      <c r="D30" s="74" t="s">
        <v>97</v>
      </c>
      <c r="E30" s="391"/>
      <c r="F30" s="391"/>
      <c r="G30" s="391"/>
      <c r="H30" s="392"/>
      <c r="I30" s="169"/>
      <c r="J30" s="169"/>
      <c r="K30" s="158"/>
      <c r="L30" s="159"/>
    </row>
    <row r="31" spans="1:12" ht="15" customHeight="1">
      <c r="A31" s="308" t="s">
        <v>103</v>
      </c>
      <c r="B31" s="350"/>
      <c r="C31" s="42"/>
      <c r="D31" s="74" t="s">
        <v>102</v>
      </c>
      <c r="E31" s="391"/>
      <c r="F31" s="391"/>
      <c r="G31" s="391"/>
      <c r="H31" s="392"/>
      <c r="I31" s="17"/>
      <c r="J31" s="169"/>
      <c r="K31" s="158"/>
      <c r="L31" s="159"/>
    </row>
    <row r="32" spans="1:12" ht="15" customHeight="1">
      <c r="A32" s="349" t="s">
        <v>243</v>
      </c>
      <c r="B32" s="350"/>
      <c r="C32" s="56">
        <f>IF(AND($B$24="Oui",C26&lt;&gt;"",C26&lt;&gt;0),5.5+3.1/C26^0.25,0)</f>
        <v>0</v>
      </c>
      <c r="D32" s="86" t="s">
        <v>4</v>
      </c>
      <c r="E32" s="391"/>
      <c r="F32" s="391"/>
      <c r="G32" s="391"/>
      <c r="H32" s="392"/>
      <c r="I32" s="17"/>
      <c r="J32" s="169"/>
      <c r="K32" s="158"/>
      <c r="L32" s="159"/>
    </row>
    <row r="33" spans="1:12" ht="15" customHeight="1">
      <c r="A33" s="349" t="s">
        <v>244</v>
      </c>
      <c r="B33" s="350"/>
      <c r="C33" s="56">
        <f>IF(AND($B$24="Oui",C27&lt;&gt;"",C27&lt;&gt;0),5.5+3.1/C27^0.25,0)</f>
        <v>0</v>
      </c>
      <c r="D33" s="86" t="s">
        <v>4</v>
      </c>
      <c r="E33" s="391"/>
      <c r="F33" s="391"/>
      <c r="G33" s="391"/>
      <c r="H33" s="392"/>
      <c r="I33" s="169"/>
      <c r="J33" s="169"/>
      <c r="K33" s="158"/>
      <c r="L33" s="159"/>
    </row>
    <row r="34" spans="1:12" ht="15" customHeight="1">
      <c r="A34" s="308" t="s">
        <v>245</v>
      </c>
      <c r="B34" s="350"/>
      <c r="C34" s="56">
        <f>IF(AND($B$24="Oui",C26&lt;&gt;"",C26&lt;&gt;0,C31&lt;&gt;"",C31&lt;&gt;0),PI()/(1/(2*$C$31)*LN(($C$26+($C$30*2))/$C$26)+1/($C$32*($C$26+($C$30*2)))),0)</f>
        <v>0</v>
      </c>
      <c r="D34" s="74" t="s">
        <v>102</v>
      </c>
      <c r="E34" s="391"/>
      <c r="F34" s="391"/>
      <c r="G34" s="391"/>
      <c r="H34" s="392"/>
      <c r="I34" s="169"/>
      <c r="J34" s="169"/>
      <c r="K34" s="158"/>
      <c r="L34" s="159"/>
    </row>
    <row r="35" spans="1:12" ht="15" customHeight="1" thickBot="1">
      <c r="A35" s="341" t="s">
        <v>246</v>
      </c>
      <c r="B35" s="342"/>
      <c r="C35" s="87">
        <f>IF(AND($B$24="Oui",C27&lt;&gt;"",C27&lt;&gt;0,C31&lt;&gt;"",C31&lt;&gt;0),PI()/(1/(2*$C$31)*LN(($C$27+($C$30*2))/$C$27)+1/($C$33*($C$27+($C$30*2)))),0)</f>
        <v>0</v>
      </c>
      <c r="D35" s="75" t="s">
        <v>102</v>
      </c>
      <c r="E35" s="393"/>
      <c r="F35" s="393"/>
      <c r="G35" s="393"/>
      <c r="H35" s="394"/>
      <c r="I35" s="169"/>
      <c r="J35" s="169"/>
      <c r="K35" s="158"/>
      <c r="L35" s="159"/>
    </row>
    <row r="36" spans="1:11" ht="15" customHeight="1" thickBot="1">
      <c r="A36" s="384"/>
      <c r="B36" s="385"/>
      <c r="C36" s="385"/>
      <c r="D36" s="385"/>
      <c r="E36" s="385"/>
      <c r="F36" s="385"/>
      <c r="G36" s="385"/>
      <c r="H36" s="386"/>
      <c r="I36" s="17"/>
      <c r="J36" s="17"/>
      <c r="K36" s="15"/>
    </row>
    <row r="37" spans="1:11" ht="15" customHeight="1">
      <c r="A37" s="301" t="s">
        <v>301</v>
      </c>
      <c r="B37" s="302"/>
      <c r="C37" s="302"/>
      <c r="D37" s="302"/>
      <c r="E37" s="302"/>
      <c r="F37" s="302"/>
      <c r="G37" s="285"/>
      <c r="H37" s="286"/>
      <c r="I37" s="17"/>
      <c r="J37" s="17"/>
      <c r="K37" s="15"/>
    </row>
    <row r="38" spans="1:11" ht="15" customHeight="1">
      <c r="A38" s="137" t="s">
        <v>252</v>
      </c>
      <c r="B38" s="202"/>
      <c r="C38" s="387"/>
      <c r="D38" s="387"/>
      <c r="E38" s="387"/>
      <c r="F38" s="350"/>
      <c r="G38" s="350"/>
      <c r="H38" s="316"/>
      <c r="I38" s="17"/>
      <c r="J38" s="17"/>
      <c r="K38" s="15"/>
    </row>
    <row r="39" spans="1:11" ht="15" customHeight="1">
      <c r="A39" s="308" t="s">
        <v>342</v>
      </c>
      <c r="B39" s="350"/>
      <c r="C39" s="42"/>
      <c r="D39" s="52" t="s">
        <v>97</v>
      </c>
      <c r="E39" s="350"/>
      <c r="F39" s="350"/>
      <c r="G39" s="350"/>
      <c r="H39" s="316"/>
      <c r="I39" s="17"/>
      <c r="J39" s="17"/>
      <c r="K39" s="15"/>
    </row>
    <row r="40" spans="1:11" ht="15" customHeight="1">
      <c r="A40" s="308" t="s">
        <v>343</v>
      </c>
      <c r="B40" s="350"/>
      <c r="C40" s="42"/>
      <c r="D40" s="52" t="s">
        <v>97</v>
      </c>
      <c r="E40" s="350"/>
      <c r="F40" s="350"/>
      <c r="G40" s="350"/>
      <c r="H40" s="316"/>
      <c r="I40" s="13"/>
      <c r="J40" s="13"/>
      <c r="K40" s="15"/>
    </row>
    <row r="41" spans="1:11" ht="15" customHeight="1">
      <c r="A41" s="308" t="s">
        <v>105</v>
      </c>
      <c r="B41" s="350"/>
      <c r="C41" s="42"/>
      <c r="D41" s="52" t="s">
        <v>97</v>
      </c>
      <c r="E41" s="350"/>
      <c r="F41" s="350"/>
      <c r="G41" s="350"/>
      <c r="H41" s="316"/>
      <c r="I41" s="13"/>
      <c r="J41" s="13"/>
      <c r="K41" s="15"/>
    </row>
    <row r="42" spans="1:11" ht="15" customHeight="1">
      <c r="A42" s="308" t="s">
        <v>103</v>
      </c>
      <c r="B42" s="350"/>
      <c r="C42" s="42"/>
      <c r="D42" s="52" t="s">
        <v>102</v>
      </c>
      <c r="E42" s="350"/>
      <c r="F42" s="350"/>
      <c r="G42" s="350"/>
      <c r="H42" s="316"/>
      <c r="I42" s="13"/>
      <c r="J42" s="13"/>
      <c r="K42" s="15"/>
    </row>
    <row r="43" spans="1:11" ht="15" customHeight="1">
      <c r="A43" s="308" t="s">
        <v>242</v>
      </c>
      <c r="B43" s="350"/>
      <c r="C43" s="56">
        <f>(($C$39/2)^2*PI()*2)+($C$39*PI()*$C$40)</f>
        <v>0</v>
      </c>
      <c r="D43" s="52" t="s">
        <v>24</v>
      </c>
      <c r="E43" s="350"/>
      <c r="F43" s="350"/>
      <c r="G43" s="350"/>
      <c r="H43" s="316"/>
      <c r="I43" s="13"/>
      <c r="J43" s="13"/>
      <c r="K43" s="15"/>
    </row>
    <row r="44" spans="1:11" ht="15" customHeight="1">
      <c r="A44" s="308" t="s">
        <v>241</v>
      </c>
      <c r="B44" s="350"/>
      <c r="C44" s="56">
        <f>($C$39/2)^2*PI()*$C$40</f>
        <v>0</v>
      </c>
      <c r="D44" s="52" t="s">
        <v>110</v>
      </c>
      <c r="E44" s="350"/>
      <c r="F44" s="350"/>
      <c r="G44" s="350"/>
      <c r="H44" s="316"/>
      <c r="I44" s="13"/>
      <c r="J44" s="13"/>
      <c r="K44" s="15"/>
    </row>
    <row r="45" spans="1:11" ht="15" customHeight="1">
      <c r="A45" s="308" t="s">
        <v>108</v>
      </c>
      <c r="B45" s="350"/>
      <c r="C45" s="56">
        <f>IF(AND(C42&lt;&gt;"",C42&lt;&gt;0),1/(($C$41/$C$42)+0.13),0)</f>
        <v>0</v>
      </c>
      <c r="D45" s="52" t="s">
        <v>109</v>
      </c>
      <c r="E45" s="350"/>
      <c r="F45" s="350"/>
      <c r="G45" s="350"/>
      <c r="H45" s="316"/>
      <c r="I45" s="13"/>
      <c r="J45" s="13"/>
      <c r="K45" s="15"/>
    </row>
    <row r="46" spans="1:11" ht="15" customHeight="1">
      <c r="A46" s="308" t="s">
        <v>111</v>
      </c>
      <c r="B46" s="350"/>
      <c r="C46" s="88">
        <f>IF(C44&lt;&gt;0,($C$43*$C$45*(1+(0.05/$C$44))),0)</f>
        <v>0</v>
      </c>
      <c r="D46" s="74" t="s">
        <v>5</v>
      </c>
      <c r="E46" s="350"/>
      <c r="F46" s="350"/>
      <c r="G46" s="350"/>
      <c r="H46" s="316"/>
      <c r="I46" s="13"/>
      <c r="J46" s="13"/>
      <c r="K46" s="13"/>
    </row>
    <row r="47" spans="1:8" ht="15" customHeight="1">
      <c r="A47" s="308" t="s">
        <v>112</v>
      </c>
      <c r="B47" s="350"/>
      <c r="C47" s="56">
        <f>((($C$39-(2*$C$41))/2)^2*PI()*($C$40-(2*$C$41)))*1000</f>
        <v>0</v>
      </c>
      <c r="D47" s="52" t="s">
        <v>77</v>
      </c>
      <c r="E47" s="350"/>
      <c r="F47" s="350"/>
      <c r="G47" s="350"/>
      <c r="H47" s="316"/>
    </row>
    <row r="48" spans="1:8" ht="15" customHeight="1" thickBot="1">
      <c r="A48" s="341" t="s">
        <v>279</v>
      </c>
      <c r="B48" s="342"/>
      <c r="C48" s="87">
        <f>IF(C47&lt;&gt;0,$C$46/$C$47,0)</f>
        <v>0</v>
      </c>
      <c r="D48" s="63" t="s">
        <v>113</v>
      </c>
      <c r="E48" s="342"/>
      <c r="F48" s="342"/>
      <c r="G48" s="342"/>
      <c r="H48" s="315"/>
    </row>
    <row r="49" spans="1:8" ht="15" customHeight="1" thickBot="1">
      <c r="A49" s="381"/>
      <c r="B49" s="382"/>
      <c r="C49" s="382"/>
      <c r="D49" s="382"/>
      <c r="E49" s="382"/>
      <c r="F49" s="382"/>
      <c r="G49" s="382"/>
      <c r="H49" s="383"/>
    </row>
    <row r="50" spans="1:8" ht="15" customHeight="1" thickBot="1">
      <c r="A50" s="311" t="s">
        <v>148</v>
      </c>
      <c r="B50" s="312"/>
      <c r="C50" s="312"/>
      <c r="D50" s="312"/>
      <c r="E50" s="312"/>
      <c r="F50" s="313"/>
      <c r="G50" s="313"/>
      <c r="H50" s="314"/>
    </row>
    <row r="51" spans="1:8" ht="15" customHeight="1">
      <c r="A51" s="305" t="s">
        <v>149</v>
      </c>
      <c r="B51" s="318" t="s">
        <v>155</v>
      </c>
      <c r="C51" s="309" t="s">
        <v>150</v>
      </c>
      <c r="D51" s="285" t="s">
        <v>151</v>
      </c>
      <c r="E51" s="285"/>
      <c r="F51" s="172">
        <f>'Logement (1)'!$E$14</f>
        <v>0</v>
      </c>
      <c r="G51" s="164" t="s">
        <v>7</v>
      </c>
      <c r="H51" s="379"/>
    </row>
    <row r="52" spans="1:8" ht="15" customHeight="1">
      <c r="A52" s="306"/>
      <c r="B52" s="319"/>
      <c r="C52" s="310"/>
      <c r="D52" s="350" t="s">
        <v>152</v>
      </c>
      <c r="E52" s="350"/>
      <c r="F52" s="74">
        <f>'Logement (1)'!$E$15</f>
        <v>0</v>
      </c>
      <c r="G52" s="52" t="s">
        <v>8</v>
      </c>
      <c r="H52" s="380"/>
    </row>
    <row r="53" spans="1:8" ht="15" customHeight="1">
      <c r="A53" s="306"/>
      <c r="B53" s="319"/>
      <c r="C53" s="310"/>
      <c r="D53" s="350" t="s">
        <v>262</v>
      </c>
      <c r="E53" s="350"/>
      <c r="F53" s="52">
        <f>IF(ISERROR(F51-$C$10*(F51-$C$7)),0,F51-$C$10*(F51-$C$7))</f>
        <v>0</v>
      </c>
      <c r="G53" s="52" t="s">
        <v>7</v>
      </c>
      <c r="H53" s="380"/>
    </row>
    <row r="54" spans="1:8" ht="15" customHeight="1">
      <c r="A54" s="306"/>
      <c r="B54" s="319"/>
      <c r="C54" s="310"/>
      <c r="D54" s="377" t="s">
        <v>285</v>
      </c>
      <c r="E54" s="367"/>
      <c r="F54" s="367"/>
      <c r="G54" s="367"/>
      <c r="H54" s="378"/>
    </row>
    <row r="55" spans="1:8" ht="15" customHeight="1">
      <c r="A55" s="306"/>
      <c r="B55" s="319"/>
      <c r="C55" s="310"/>
      <c r="D55" s="350" t="s">
        <v>282</v>
      </c>
      <c r="E55" s="350"/>
      <c r="F55" s="56">
        <f>IF(AND($B$24="Oui",$C$26&lt;&gt;"",$C$26&lt;&gt;0,$C$28&lt;&gt;"",$C$28&lt;&gt;0),$C$28*(PI()/(1/(2*100)*LN(($C$26+0.002)/$C$26)+1/($C$32*($C$26+0.002))))*($C$9-F51),0)</f>
        <v>0</v>
      </c>
      <c r="G55" s="52" t="s">
        <v>114</v>
      </c>
      <c r="H55" s="173" t="str">
        <f>"("&amp;ROUND(F55/1000,3)&amp;" kWh)"</f>
        <v>(0 kWh)</v>
      </c>
    </row>
    <row r="56" spans="1:8" ht="15" customHeight="1">
      <c r="A56" s="306"/>
      <c r="B56" s="319"/>
      <c r="C56" s="310"/>
      <c r="D56" s="350" t="s">
        <v>283</v>
      </c>
      <c r="E56" s="350"/>
      <c r="F56" s="56">
        <f>IF(AND($B$24="Oui",$C$27&lt;&gt;"",$C$27&lt;&gt;0,$C$29&lt;&gt;"",$C$29&lt;&gt;0),$C$29*(PI()/(1/(2*100)*LN(($C$27+0.002)/$C$27)+1/($C$33*($C$27+0.002))))*($C$9-F53),0)</f>
        <v>0</v>
      </c>
      <c r="G56" s="52" t="s">
        <v>114</v>
      </c>
      <c r="H56" s="173" t="str">
        <f>"("&amp;ROUND(F56/1000,3)&amp;" kWh)"</f>
        <v>(0 kWh)</v>
      </c>
    </row>
    <row r="57" spans="1:8" ht="15" customHeight="1">
      <c r="A57" s="306"/>
      <c r="B57" s="319"/>
      <c r="C57" s="310"/>
      <c r="D57" s="350" t="s">
        <v>280</v>
      </c>
      <c r="E57" s="350"/>
      <c r="F57" s="56">
        <f>IF($B$38="Oui",$C$46*($C$9-F51),$C$46*($C$9-F53))</f>
        <v>0</v>
      </c>
      <c r="G57" s="52" t="s">
        <v>114</v>
      </c>
      <c r="H57" s="173" t="str">
        <f>"("&amp;ROUND(F57/1000,3)&amp;" kWh)"</f>
        <v>(0 kWh)</v>
      </c>
    </row>
    <row r="58" spans="1:8" ht="15" customHeight="1">
      <c r="A58" s="306"/>
      <c r="B58" s="319"/>
      <c r="C58" s="310"/>
      <c r="D58" s="377" t="s">
        <v>290</v>
      </c>
      <c r="E58" s="367"/>
      <c r="F58" s="367"/>
      <c r="G58" s="367"/>
      <c r="H58" s="378"/>
    </row>
    <row r="59" spans="1:8" ht="15" customHeight="1">
      <c r="A59" s="306"/>
      <c r="B59" s="319"/>
      <c r="C59" s="310"/>
      <c r="D59" s="350" t="s">
        <v>281</v>
      </c>
      <c r="E59" s="350"/>
      <c r="F59" s="56">
        <f>1.2628*$C$20*($C$9-F51)*$C$15*'Logement (1)'!$D$7</f>
        <v>0</v>
      </c>
      <c r="G59" s="52" t="s">
        <v>114</v>
      </c>
      <c r="H59" s="173" t="str">
        <f aca="true" t="shared" si="0" ref="H59:H64">"("&amp;ROUND(F59/1000,3)&amp;" kWh)"</f>
        <v>(0 kWh)</v>
      </c>
    </row>
    <row r="60" spans="1:8" ht="15" customHeight="1">
      <c r="A60" s="306"/>
      <c r="B60" s="319"/>
      <c r="C60" s="310"/>
      <c r="D60" s="350" t="s">
        <v>284</v>
      </c>
      <c r="E60" s="350"/>
      <c r="F60" s="56">
        <f>1.2628*$C$21*($C$9-F53)*$C$15*'Logement (1)'!$D$7</f>
        <v>0</v>
      </c>
      <c r="G60" s="52" t="s">
        <v>114</v>
      </c>
      <c r="H60" s="173" t="str">
        <f t="shared" si="0"/>
        <v>(0 kWh)</v>
      </c>
    </row>
    <row r="61" spans="1:8" ht="15" customHeight="1">
      <c r="A61" s="306"/>
      <c r="B61" s="319"/>
      <c r="C61" s="310"/>
      <c r="D61" s="350" t="s">
        <v>286</v>
      </c>
      <c r="E61" s="350"/>
      <c r="F61" s="56">
        <f>F55*F52</f>
        <v>0</v>
      </c>
      <c r="G61" s="52" t="s">
        <v>114</v>
      </c>
      <c r="H61" s="173" t="str">
        <f t="shared" si="0"/>
        <v>(0 kWh)</v>
      </c>
    </row>
    <row r="62" spans="1:8" ht="15" customHeight="1">
      <c r="A62" s="306"/>
      <c r="B62" s="319"/>
      <c r="C62" s="310"/>
      <c r="D62" s="350" t="s">
        <v>287</v>
      </c>
      <c r="E62" s="350"/>
      <c r="F62" s="56">
        <f>F56*F52</f>
        <v>0</v>
      </c>
      <c r="G62" s="52" t="s">
        <v>114</v>
      </c>
      <c r="H62" s="173" t="str">
        <f t="shared" si="0"/>
        <v>(0 kWh)</v>
      </c>
    </row>
    <row r="63" spans="1:8" ht="15" customHeight="1">
      <c r="A63" s="306"/>
      <c r="B63" s="319"/>
      <c r="C63" s="310"/>
      <c r="D63" s="350" t="s">
        <v>288</v>
      </c>
      <c r="E63" s="350"/>
      <c r="F63" s="56">
        <f>F57*F52</f>
        <v>0</v>
      </c>
      <c r="G63" s="52" t="s">
        <v>114</v>
      </c>
      <c r="H63" s="173" t="str">
        <f t="shared" si="0"/>
        <v>(0 kWh)</v>
      </c>
    </row>
    <row r="64" spans="1:8" ht="15" customHeight="1">
      <c r="A64" s="306"/>
      <c r="B64" s="319"/>
      <c r="C64" s="310"/>
      <c r="D64" s="350" t="s">
        <v>222</v>
      </c>
      <c r="E64" s="350"/>
      <c r="F64" s="56">
        <f>F59+F60+F61+F62+F63</f>
        <v>0</v>
      </c>
      <c r="G64" s="52" t="s">
        <v>114</v>
      </c>
      <c r="H64" s="173" t="str">
        <f t="shared" si="0"/>
        <v>(0 kWh)</v>
      </c>
    </row>
    <row r="65" spans="1:8" ht="15" customHeight="1">
      <c r="A65" s="306"/>
      <c r="B65" s="319"/>
      <c r="C65" s="310"/>
      <c r="D65" s="377" t="s">
        <v>303</v>
      </c>
      <c r="E65" s="367"/>
      <c r="F65" s="367"/>
      <c r="G65" s="367"/>
      <c r="H65" s="378"/>
    </row>
    <row r="66" spans="1:8" ht="15" customHeight="1">
      <c r="A66" s="306"/>
      <c r="B66" s="319"/>
      <c r="C66" s="310"/>
      <c r="D66" s="300" t="s">
        <v>302</v>
      </c>
      <c r="E66" s="350"/>
      <c r="F66" s="58" t="e">
        <f>F73/F52</f>
        <v>#DIV/0!</v>
      </c>
      <c r="G66" s="57" t="s">
        <v>114</v>
      </c>
      <c r="H66" s="59" t="e">
        <f>"("&amp;ROUND(F66/1000,3)&amp;" kWh)"</f>
        <v>#DIV/0!</v>
      </c>
    </row>
    <row r="67" spans="1:8" ht="15" customHeight="1">
      <c r="A67" s="306"/>
      <c r="B67" s="319"/>
      <c r="C67" s="310"/>
      <c r="D67" s="377" t="s">
        <v>292</v>
      </c>
      <c r="E67" s="367"/>
      <c r="F67" s="367"/>
      <c r="G67" s="367"/>
      <c r="H67" s="378"/>
    </row>
    <row r="68" spans="1:8" ht="15" customHeight="1">
      <c r="A68" s="306"/>
      <c r="B68" s="319"/>
      <c r="C68" s="310"/>
      <c r="D68" s="300" t="s">
        <v>293</v>
      </c>
      <c r="E68" s="350"/>
      <c r="F68" s="56">
        <f>F59</f>
        <v>0</v>
      </c>
      <c r="G68" s="52" t="s">
        <v>114</v>
      </c>
      <c r="H68" s="173" t="str">
        <f aca="true" t="shared" si="1" ref="H68:H73">"("&amp;ROUND(F68/1000,3)&amp;" kWh)"</f>
        <v>(0 kWh)</v>
      </c>
    </row>
    <row r="69" spans="1:8" ht="15" customHeight="1">
      <c r="A69" s="306"/>
      <c r="B69" s="319"/>
      <c r="C69" s="310"/>
      <c r="D69" s="300" t="s">
        <v>294</v>
      </c>
      <c r="E69" s="350"/>
      <c r="F69" s="56">
        <f>F60*(1-$C$10)</f>
        <v>0</v>
      </c>
      <c r="G69" s="52" t="s">
        <v>114</v>
      </c>
      <c r="H69" s="173" t="str">
        <f t="shared" si="1"/>
        <v>(0 kWh)</v>
      </c>
    </row>
    <row r="70" spans="1:8" ht="15" customHeight="1">
      <c r="A70" s="306"/>
      <c r="B70" s="319"/>
      <c r="C70" s="310"/>
      <c r="D70" s="300" t="s">
        <v>295</v>
      </c>
      <c r="E70" s="350"/>
      <c r="F70" s="56">
        <f>F61</f>
        <v>0</v>
      </c>
      <c r="G70" s="52" t="s">
        <v>114</v>
      </c>
      <c r="H70" s="173" t="str">
        <f t="shared" si="1"/>
        <v>(0 kWh)</v>
      </c>
    </row>
    <row r="71" spans="1:8" ht="15" customHeight="1">
      <c r="A71" s="306"/>
      <c r="B71" s="319"/>
      <c r="C71" s="310"/>
      <c r="D71" s="300" t="s">
        <v>296</v>
      </c>
      <c r="E71" s="350"/>
      <c r="F71" s="56">
        <f>F62*(1-$C$10)</f>
        <v>0</v>
      </c>
      <c r="G71" s="52" t="s">
        <v>114</v>
      </c>
      <c r="H71" s="173" t="str">
        <f t="shared" si="1"/>
        <v>(0 kWh)</v>
      </c>
    </row>
    <row r="72" spans="1:8" ht="15" customHeight="1">
      <c r="A72" s="306"/>
      <c r="B72" s="319"/>
      <c r="C72" s="310"/>
      <c r="D72" s="300" t="s">
        <v>291</v>
      </c>
      <c r="E72" s="350"/>
      <c r="F72" s="56">
        <f>IF($B$24="Oui",F63,F63*(1-$C$10))</f>
        <v>0</v>
      </c>
      <c r="G72" s="52" t="s">
        <v>114</v>
      </c>
      <c r="H72" s="173" t="str">
        <f t="shared" si="1"/>
        <v>(0 kWh)</v>
      </c>
    </row>
    <row r="73" spans="1:8" ht="15" customHeight="1" thickBot="1">
      <c r="A73" s="306"/>
      <c r="B73" s="319"/>
      <c r="C73" s="304"/>
      <c r="D73" s="320" t="s">
        <v>297</v>
      </c>
      <c r="E73" s="342"/>
      <c r="F73" s="76">
        <f>SUM(F68:F72)</f>
        <v>0</v>
      </c>
      <c r="G73" s="174" t="s">
        <v>114</v>
      </c>
      <c r="H73" s="175" t="str">
        <f t="shared" si="1"/>
        <v>(0 kWh)</v>
      </c>
    </row>
    <row r="74" spans="1:8" ht="15" customHeight="1">
      <c r="A74" s="306"/>
      <c r="B74" s="319"/>
      <c r="C74" s="309" t="s">
        <v>154</v>
      </c>
      <c r="D74" s="285" t="s">
        <v>151</v>
      </c>
      <c r="E74" s="285"/>
      <c r="F74" s="172">
        <f>'Logement (1)'!$E$16</f>
        <v>0</v>
      </c>
      <c r="G74" s="164" t="s">
        <v>7</v>
      </c>
      <c r="H74" s="379"/>
    </row>
    <row r="75" spans="1:8" ht="15" customHeight="1">
      <c r="A75" s="306"/>
      <c r="B75" s="319"/>
      <c r="C75" s="310"/>
      <c r="D75" s="350" t="s">
        <v>152</v>
      </c>
      <c r="E75" s="350"/>
      <c r="F75" s="74">
        <f>24-F52</f>
        <v>24</v>
      </c>
      <c r="G75" s="52" t="s">
        <v>8</v>
      </c>
      <c r="H75" s="380"/>
    </row>
    <row r="76" spans="1:8" ht="15" customHeight="1">
      <c r="A76" s="306"/>
      <c r="B76" s="319"/>
      <c r="C76" s="310"/>
      <c r="D76" s="350" t="s">
        <v>262</v>
      </c>
      <c r="E76" s="350"/>
      <c r="F76" s="109">
        <f>IF(ISERROR(F74-$C$10*(F74-$C$7)),0,F74-$C$10*(F74-$C$7))</f>
        <v>0</v>
      </c>
      <c r="G76" s="52" t="s">
        <v>7</v>
      </c>
      <c r="H76" s="380"/>
    </row>
    <row r="77" spans="1:8" ht="15" customHeight="1">
      <c r="A77" s="306"/>
      <c r="B77" s="319"/>
      <c r="C77" s="310"/>
      <c r="D77" s="377" t="s">
        <v>285</v>
      </c>
      <c r="E77" s="367"/>
      <c r="F77" s="367"/>
      <c r="G77" s="367"/>
      <c r="H77" s="378"/>
    </row>
    <row r="78" spans="1:8" ht="15" customHeight="1">
      <c r="A78" s="306"/>
      <c r="B78" s="319"/>
      <c r="C78" s="310"/>
      <c r="D78" s="350" t="s">
        <v>280</v>
      </c>
      <c r="E78" s="350"/>
      <c r="F78" s="58">
        <f>IF($B$38="Oui",$C$46*($C$9-F74),$C$46*($C$9-F76))</f>
        <v>0</v>
      </c>
      <c r="G78" s="57" t="s">
        <v>114</v>
      </c>
      <c r="H78" s="59" t="str">
        <f>"("&amp;ROUND(F78/1000,3)&amp;" kWh)"</f>
        <v>(0 kWh)</v>
      </c>
    </row>
    <row r="79" spans="1:8" ht="15" customHeight="1">
      <c r="A79" s="306"/>
      <c r="B79" s="319"/>
      <c r="C79" s="310"/>
      <c r="D79" s="377" t="s">
        <v>289</v>
      </c>
      <c r="E79" s="367"/>
      <c r="F79" s="367"/>
      <c r="G79" s="367"/>
      <c r="H79" s="378"/>
    </row>
    <row r="80" spans="1:8" ht="15" customHeight="1">
      <c r="A80" s="306"/>
      <c r="B80" s="319"/>
      <c r="C80" s="310"/>
      <c r="D80" s="350" t="s">
        <v>288</v>
      </c>
      <c r="E80" s="350"/>
      <c r="F80" s="56">
        <f>F78*F75</f>
        <v>0</v>
      </c>
      <c r="G80" s="52" t="s">
        <v>114</v>
      </c>
      <c r="H80" s="173" t="str">
        <f>"("&amp;ROUND(F80/1000,3)&amp;" kWh)"</f>
        <v>(0 kWh)</v>
      </c>
    </row>
    <row r="81" spans="1:8" ht="15" customHeight="1">
      <c r="A81" s="306"/>
      <c r="B81" s="319"/>
      <c r="C81" s="310"/>
      <c r="D81" s="377" t="s">
        <v>298</v>
      </c>
      <c r="E81" s="367"/>
      <c r="F81" s="367"/>
      <c r="G81" s="367"/>
      <c r="H81" s="378"/>
    </row>
    <row r="82" spans="1:8" ht="15" customHeight="1" thickBot="1">
      <c r="A82" s="306"/>
      <c r="B82" s="277"/>
      <c r="C82" s="304"/>
      <c r="D82" s="320" t="s">
        <v>291</v>
      </c>
      <c r="E82" s="342"/>
      <c r="F82" s="76">
        <f>IF($B$38="Oui",F80,F80*(1-$C$10))</f>
        <v>0</v>
      </c>
      <c r="G82" s="174" t="s">
        <v>114</v>
      </c>
      <c r="H82" s="175" t="str">
        <f>"("&amp;ROUND(F82/1000,3)&amp;" kWh)"</f>
        <v>(0 kWh)</v>
      </c>
    </row>
    <row r="83" spans="1:8" ht="15" customHeight="1">
      <c r="A83" s="306"/>
      <c r="B83" s="416" t="s">
        <v>265</v>
      </c>
      <c r="C83" s="361"/>
      <c r="D83" s="361"/>
      <c r="E83" s="361"/>
      <c r="F83" s="81">
        <f>F64+F80</f>
        <v>0</v>
      </c>
      <c r="G83" s="176" t="s">
        <v>114</v>
      </c>
      <c r="H83" s="177" t="str">
        <f>"("&amp;ROUND(F83/1000,3)&amp;" kWh)"</f>
        <v>(0 kWh)</v>
      </c>
    </row>
    <row r="84" spans="1:8" ht="15" customHeight="1" thickBot="1">
      <c r="A84" s="413"/>
      <c r="B84" s="414" t="s">
        <v>274</v>
      </c>
      <c r="C84" s="415"/>
      <c r="D84" s="415"/>
      <c r="E84" s="415"/>
      <c r="F84" s="178">
        <f>F82+F73</f>
        <v>0</v>
      </c>
      <c r="G84" s="179" t="s">
        <v>114</v>
      </c>
      <c r="H84" s="180" t="str">
        <f>"("&amp;ROUND(F84/1000,3)&amp;" kWh)"</f>
        <v>(0 kWh)</v>
      </c>
    </row>
    <row r="85" spans="1:8" ht="15" customHeight="1">
      <c r="A85" s="318" t="s">
        <v>156</v>
      </c>
      <c r="B85" s="318" t="s">
        <v>155</v>
      </c>
      <c r="C85" s="309" t="s">
        <v>150</v>
      </c>
      <c r="D85" s="285" t="s">
        <v>151</v>
      </c>
      <c r="E85" s="285"/>
      <c r="F85" s="172">
        <f>'Logement (1)'!E18</f>
        <v>0</v>
      </c>
      <c r="G85" s="164" t="s">
        <v>7</v>
      </c>
      <c r="H85" s="379"/>
    </row>
    <row r="86" spans="1:8" ht="15" customHeight="1">
      <c r="A86" s="319"/>
      <c r="B86" s="319"/>
      <c r="C86" s="310"/>
      <c r="D86" s="350" t="s">
        <v>152</v>
      </c>
      <c r="E86" s="350"/>
      <c r="F86" s="74">
        <f>'Logement (1)'!E19</f>
        <v>0</v>
      </c>
      <c r="G86" s="52" t="s">
        <v>8</v>
      </c>
      <c r="H86" s="380"/>
    </row>
    <row r="87" spans="1:8" ht="15" customHeight="1">
      <c r="A87" s="319"/>
      <c r="B87" s="319"/>
      <c r="C87" s="310"/>
      <c r="D87" s="350" t="s">
        <v>262</v>
      </c>
      <c r="E87" s="350"/>
      <c r="F87" s="52">
        <f>IF(ISERROR(F85-$C$10*(F85-$C$7)),0,F85-$C$10*(F85-$C$7))</f>
        <v>0</v>
      </c>
      <c r="G87" s="52" t="s">
        <v>7</v>
      </c>
      <c r="H87" s="380"/>
    </row>
    <row r="88" spans="1:8" ht="15" customHeight="1">
      <c r="A88" s="319"/>
      <c r="B88" s="319"/>
      <c r="C88" s="310"/>
      <c r="D88" s="377" t="s">
        <v>285</v>
      </c>
      <c r="E88" s="367"/>
      <c r="F88" s="367"/>
      <c r="G88" s="367"/>
      <c r="H88" s="378"/>
    </row>
    <row r="89" spans="1:8" ht="15" customHeight="1">
      <c r="A89" s="319"/>
      <c r="B89" s="319"/>
      <c r="C89" s="310"/>
      <c r="D89" s="350" t="s">
        <v>282</v>
      </c>
      <c r="E89" s="350"/>
      <c r="F89" s="56">
        <f>IF(AND($B$24="Oui",$C$26&lt;&gt;"",$C$26&lt;&gt;0,$C$28&lt;&gt;"",$C$28&lt;&gt;0),$C$28*(PI()/(1/(2*100)*LN(($C$26+0.002)/$C$26)+1/($C$32*($C$26+0.002))))*($C$9-F85),0)</f>
        <v>0</v>
      </c>
      <c r="G89" s="52" t="s">
        <v>114</v>
      </c>
      <c r="H89" s="173" t="str">
        <f>"("&amp;ROUND(F89/1000,3)&amp;" kWh)"</f>
        <v>(0 kWh)</v>
      </c>
    </row>
    <row r="90" spans="1:8" ht="15" customHeight="1">
      <c r="A90" s="319"/>
      <c r="B90" s="319"/>
      <c r="C90" s="310"/>
      <c r="D90" s="350" t="s">
        <v>283</v>
      </c>
      <c r="E90" s="350"/>
      <c r="F90" s="56">
        <f>IF(AND($B$24="Oui",$C$27&lt;&gt;"",$C$27&lt;&gt;0,$C$29&lt;&gt;"",$C$29&lt;&gt;0),$C$29*(PI()/(1/(2*100)*LN(($C$27+0.002)/$C$27)+1/($C$33*($C$27+0.002))))*($C$9-F87),0)</f>
        <v>0</v>
      </c>
      <c r="G90" s="52" t="s">
        <v>114</v>
      </c>
      <c r="H90" s="173" t="str">
        <f>"("&amp;ROUND(F90/1000,3)&amp;" kWh)"</f>
        <v>(0 kWh)</v>
      </c>
    </row>
    <row r="91" spans="1:8" ht="15" customHeight="1">
      <c r="A91" s="319"/>
      <c r="B91" s="319"/>
      <c r="C91" s="310"/>
      <c r="D91" s="350" t="s">
        <v>280</v>
      </c>
      <c r="E91" s="350"/>
      <c r="F91" s="56">
        <f>IF($B$38="Oui",$C$46*($C$9-F85),$C$46*($C$9-F87))</f>
        <v>0</v>
      </c>
      <c r="G91" s="52" t="s">
        <v>114</v>
      </c>
      <c r="H91" s="173" t="str">
        <f>"("&amp;ROUND(F91/1000,3)&amp;" kWh)"</f>
        <v>(0 kWh)</v>
      </c>
    </row>
    <row r="92" spans="1:8" ht="15" customHeight="1">
      <c r="A92" s="319"/>
      <c r="B92" s="319"/>
      <c r="C92" s="310"/>
      <c r="D92" s="377" t="s">
        <v>290</v>
      </c>
      <c r="E92" s="367"/>
      <c r="F92" s="367"/>
      <c r="G92" s="367"/>
      <c r="H92" s="378"/>
    </row>
    <row r="93" spans="1:8" ht="15" customHeight="1">
      <c r="A93" s="319"/>
      <c r="B93" s="319"/>
      <c r="C93" s="310"/>
      <c r="D93" s="350" t="s">
        <v>281</v>
      </c>
      <c r="E93" s="350"/>
      <c r="F93" s="56">
        <f>1.2628*$C$20*($C$9-F85)*$C$15*'Logement (1)'!$D$7</f>
        <v>0</v>
      </c>
      <c r="G93" s="52" t="s">
        <v>114</v>
      </c>
      <c r="H93" s="173" t="str">
        <f aca="true" t="shared" si="2" ref="H93:H98">"("&amp;ROUND(F93/1000,3)&amp;" kWh)"</f>
        <v>(0 kWh)</v>
      </c>
    </row>
    <row r="94" spans="1:8" ht="15" customHeight="1">
      <c r="A94" s="319"/>
      <c r="B94" s="319"/>
      <c r="C94" s="310"/>
      <c r="D94" s="350" t="s">
        <v>284</v>
      </c>
      <c r="E94" s="350"/>
      <c r="F94" s="56">
        <f>1.2628*$C$21*($C$9-F87)*$C$15*'Logement (1)'!$D$7</f>
        <v>0</v>
      </c>
      <c r="G94" s="52" t="s">
        <v>114</v>
      </c>
      <c r="H94" s="173" t="str">
        <f t="shared" si="2"/>
        <v>(0 kWh)</v>
      </c>
    </row>
    <row r="95" spans="1:8" ht="15" customHeight="1">
      <c r="A95" s="319"/>
      <c r="B95" s="319"/>
      <c r="C95" s="310"/>
      <c r="D95" s="350" t="s">
        <v>286</v>
      </c>
      <c r="E95" s="350"/>
      <c r="F95" s="56">
        <f>F89*F86</f>
        <v>0</v>
      </c>
      <c r="G95" s="52" t="s">
        <v>114</v>
      </c>
      <c r="H95" s="173" t="str">
        <f t="shared" si="2"/>
        <v>(0 kWh)</v>
      </c>
    </row>
    <row r="96" spans="1:8" ht="15" customHeight="1">
      <c r="A96" s="319"/>
      <c r="B96" s="319"/>
      <c r="C96" s="310"/>
      <c r="D96" s="350" t="s">
        <v>287</v>
      </c>
      <c r="E96" s="350"/>
      <c r="F96" s="56">
        <f>F90*F86</f>
        <v>0</v>
      </c>
      <c r="G96" s="52" t="s">
        <v>114</v>
      </c>
      <c r="H96" s="173" t="str">
        <f t="shared" si="2"/>
        <v>(0 kWh)</v>
      </c>
    </row>
    <row r="97" spans="1:8" ht="15" customHeight="1">
      <c r="A97" s="319"/>
      <c r="B97" s="319"/>
      <c r="C97" s="310"/>
      <c r="D97" s="350" t="s">
        <v>288</v>
      </c>
      <c r="E97" s="350"/>
      <c r="F97" s="56">
        <f>F91*F86</f>
        <v>0</v>
      </c>
      <c r="G97" s="52" t="s">
        <v>114</v>
      </c>
      <c r="H97" s="173" t="str">
        <f t="shared" si="2"/>
        <v>(0 kWh)</v>
      </c>
    </row>
    <row r="98" spans="1:8" ht="15" customHeight="1">
      <c r="A98" s="319"/>
      <c r="B98" s="319"/>
      <c r="C98" s="310"/>
      <c r="D98" s="350" t="s">
        <v>222</v>
      </c>
      <c r="E98" s="350"/>
      <c r="F98" s="56">
        <f>F93+F94+F95+F96+F97</f>
        <v>0</v>
      </c>
      <c r="G98" s="52" t="s">
        <v>114</v>
      </c>
      <c r="H98" s="173" t="str">
        <f t="shared" si="2"/>
        <v>(0 kWh)</v>
      </c>
    </row>
    <row r="99" spans="1:8" ht="15" customHeight="1">
      <c r="A99" s="319"/>
      <c r="B99" s="319"/>
      <c r="C99" s="310"/>
      <c r="D99" s="377" t="s">
        <v>303</v>
      </c>
      <c r="E99" s="367"/>
      <c r="F99" s="367"/>
      <c r="G99" s="367"/>
      <c r="H99" s="378"/>
    </row>
    <row r="100" spans="1:8" ht="15" customHeight="1">
      <c r="A100" s="319"/>
      <c r="B100" s="319"/>
      <c r="C100" s="310"/>
      <c r="D100" s="300" t="s">
        <v>302</v>
      </c>
      <c r="E100" s="350"/>
      <c r="F100" s="58" t="e">
        <f>F107/F86</f>
        <v>#DIV/0!</v>
      </c>
      <c r="G100" s="57" t="s">
        <v>114</v>
      </c>
      <c r="H100" s="59" t="e">
        <f>"("&amp;ROUND(F100/1000,3)&amp;" kWh)"</f>
        <v>#DIV/0!</v>
      </c>
    </row>
    <row r="101" spans="1:8" ht="15" customHeight="1">
      <c r="A101" s="319"/>
      <c r="B101" s="319"/>
      <c r="C101" s="310"/>
      <c r="D101" s="377" t="s">
        <v>292</v>
      </c>
      <c r="E101" s="367"/>
      <c r="F101" s="367"/>
      <c r="G101" s="367"/>
      <c r="H101" s="378"/>
    </row>
    <row r="102" spans="1:8" ht="15" customHeight="1">
      <c r="A102" s="319"/>
      <c r="B102" s="319"/>
      <c r="C102" s="310"/>
      <c r="D102" s="300" t="s">
        <v>293</v>
      </c>
      <c r="E102" s="350"/>
      <c r="F102" s="56">
        <f>F93</f>
        <v>0</v>
      </c>
      <c r="G102" s="52" t="s">
        <v>114</v>
      </c>
      <c r="H102" s="173" t="str">
        <f aca="true" t="shared" si="3" ref="H102:H107">"("&amp;ROUND(F102/1000,3)&amp;" kWh)"</f>
        <v>(0 kWh)</v>
      </c>
    </row>
    <row r="103" spans="1:8" ht="15" customHeight="1">
      <c r="A103" s="319"/>
      <c r="B103" s="319"/>
      <c r="C103" s="310"/>
      <c r="D103" s="300" t="s">
        <v>294</v>
      </c>
      <c r="E103" s="350"/>
      <c r="F103" s="56">
        <f>F94*(1-$C$10)</f>
        <v>0</v>
      </c>
      <c r="G103" s="52" t="s">
        <v>114</v>
      </c>
      <c r="H103" s="173" t="str">
        <f t="shared" si="3"/>
        <v>(0 kWh)</v>
      </c>
    </row>
    <row r="104" spans="1:8" ht="15" customHeight="1">
      <c r="A104" s="319"/>
      <c r="B104" s="319"/>
      <c r="C104" s="310"/>
      <c r="D104" s="300" t="s">
        <v>295</v>
      </c>
      <c r="E104" s="350"/>
      <c r="F104" s="56">
        <f>F95</f>
        <v>0</v>
      </c>
      <c r="G104" s="52" t="s">
        <v>114</v>
      </c>
      <c r="H104" s="173" t="str">
        <f t="shared" si="3"/>
        <v>(0 kWh)</v>
      </c>
    </row>
    <row r="105" spans="1:8" ht="15" customHeight="1">
      <c r="A105" s="319"/>
      <c r="B105" s="319"/>
      <c r="C105" s="310"/>
      <c r="D105" s="300" t="s">
        <v>296</v>
      </c>
      <c r="E105" s="350"/>
      <c r="F105" s="56">
        <f>F96*(1-$C$10)</f>
        <v>0</v>
      </c>
      <c r="G105" s="52" t="s">
        <v>114</v>
      </c>
      <c r="H105" s="173" t="str">
        <f t="shared" si="3"/>
        <v>(0 kWh)</v>
      </c>
    </row>
    <row r="106" spans="1:8" ht="15" customHeight="1">
      <c r="A106" s="319"/>
      <c r="B106" s="319"/>
      <c r="C106" s="310"/>
      <c r="D106" s="300" t="s">
        <v>291</v>
      </c>
      <c r="E106" s="350"/>
      <c r="F106" s="56">
        <f>IF($B$24="Oui",F97,F97*(1-$C$10))</f>
        <v>0</v>
      </c>
      <c r="G106" s="52" t="s">
        <v>114</v>
      </c>
      <c r="H106" s="173" t="str">
        <f t="shared" si="3"/>
        <v>(0 kWh)</v>
      </c>
    </row>
    <row r="107" spans="1:8" ht="15" customHeight="1" thickBot="1">
      <c r="A107" s="319"/>
      <c r="B107" s="319"/>
      <c r="C107" s="304"/>
      <c r="D107" s="320" t="s">
        <v>297</v>
      </c>
      <c r="E107" s="342"/>
      <c r="F107" s="76">
        <f>SUM(F102:F106)</f>
        <v>0</v>
      </c>
      <c r="G107" s="174" t="s">
        <v>114</v>
      </c>
      <c r="H107" s="175" t="str">
        <f t="shared" si="3"/>
        <v>(0 kWh)</v>
      </c>
    </row>
    <row r="108" spans="1:8" ht="15" customHeight="1">
      <c r="A108" s="319"/>
      <c r="B108" s="319"/>
      <c r="C108" s="309" t="s">
        <v>154</v>
      </c>
      <c r="D108" s="285" t="s">
        <v>151</v>
      </c>
      <c r="E108" s="285"/>
      <c r="F108" s="172">
        <f>'Logement (1)'!E20</f>
        <v>0</v>
      </c>
      <c r="G108" s="164" t="s">
        <v>7</v>
      </c>
      <c r="H108" s="379"/>
    </row>
    <row r="109" spans="1:8" ht="15" customHeight="1">
      <c r="A109" s="319"/>
      <c r="B109" s="319"/>
      <c r="C109" s="310"/>
      <c r="D109" s="350" t="s">
        <v>152</v>
      </c>
      <c r="E109" s="350"/>
      <c r="F109" s="74">
        <f>24-F86</f>
        <v>24</v>
      </c>
      <c r="G109" s="52" t="s">
        <v>8</v>
      </c>
      <c r="H109" s="380"/>
    </row>
    <row r="110" spans="1:8" ht="15" customHeight="1">
      <c r="A110" s="319"/>
      <c r="B110" s="319"/>
      <c r="C110" s="310"/>
      <c r="D110" s="350" t="s">
        <v>262</v>
      </c>
      <c r="E110" s="350"/>
      <c r="F110" s="109">
        <f>IF(ISERROR(F108-$C$10*(F108-$C$7)),0,F108-$C$10*(F108-$C$7))</f>
        <v>0</v>
      </c>
      <c r="G110" s="52" t="s">
        <v>7</v>
      </c>
      <c r="H110" s="380"/>
    </row>
    <row r="111" spans="1:8" ht="15" customHeight="1">
      <c r="A111" s="319"/>
      <c r="B111" s="319"/>
      <c r="C111" s="310"/>
      <c r="D111" s="377" t="s">
        <v>285</v>
      </c>
      <c r="E111" s="367"/>
      <c r="F111" s="367"/>
      <c r="G111" s="367"/>
      <c r="H111" s="378"/>
    </row>
    <row r="112" spans="1:8" ht="15" customHeight="1">
      <c r="A112" s="319"/>
      <c r="B112" s="319"/>
      <c r="C112" s="310"/>
      <c r="D112" s="350" t="s">
        <v>280</v>
      </c>
      <c r="E112" s="350"/>
      <c r="F112" s="58">
        <f>IF($B$38="Oui",$C$46*($C$9-F108),$C$46*($C$9-F110))</f>
        <v>0</v>
      </c>
      <c r="G112" s="57" t="s">
        <v>114</v>
      </c>
      <c r="H112" s="59" t="str">
        <f>"("&amp;ROUND(F112/1000,3)&amp;" kWh)"</f>
        <v>(0 kWh)</v>
      </c>
    </row>
    <row r="113" spans="1:8" ht="15" customHeight="1">
      <c r="A113" s="319"/>
      <c r="B113" s="319"/>
      <c r="C113" s="310"/>
      <c r="D113" s="377" t="s">
        <v>289</v>
      </c>
      <c r="E113" s="367"/>
      <c r="F113" s="367"/>
      <c r="G113" s="367"/>
      <c r="H113" s="378"/>
    </row>
    <row r="114" spans="1:8" ht="15" customHeight="1">
      <c r="A114" s="319"/>
      <c r="B114" s="319"/>
      <c r="C114" s="310"/>
      <c r="D114" s="350" t="s">
        <v>288</v>
      </c>
      <c r="E114" s="350"/>
      <c r="F114" s="56">
        <f>F112*F109</f>
        <v>0</v>
      </c>
      <c r="G114" s="52" t="s">
        <v>114</v>
      </c>
      <c r="H114" s="173" t="str">
        <f>"("&amp;ROUND(F114/1000,3)&amp;" kWh)"</f>
        <v>(0 kWh)</v>
      </c>
    </row>
    <row r="115" spans="1:8" ht="15" customHeight="1">
      <c r="A115" s="319"/>
      <c r="B115" s="319"/>
      <c r="C115" s="310"/>
      <c r="D115" s="377" t="s">
        <v>298</v>
      </c>
      <c r="E115" s="367"/>
      <c r="F115" s="367"/>
      <c r="G115" s="367"/>
      <c r="H115" s="378"/>
    </row>
    <row r="116" spans="1:8" ht="15" customHeight="1" thickBot="1">
      <c r="A116" s="319"/>
      <c r="B116" s="277"/>
      <c r="C116" s="304"/>
      <c r="D116" s="320" t="s">
        <v>291</v>
      </c>
      <c r="E116" s="342"/>
      <c r="F116" s="76">
        <f>IF($B$38="Oui",F114,F114*(1-$C$10))</f>
        <v>0</v>
      </c>
      <c r="G116" s="174" t="s">
        <v>114</v>
      </c>
      <c r="H116" s="175" t="str">
        <f>"("&amp;ROUND(F116/1000,3)&amp;" kWh)"</f>
        <v>(0 kWh)</v>
      </c>
    </row>
    <row r="117" spans="1:8" ht="15" customHeight="1">
      <c r="A117" s="310"/>
      <c r="B117" s="361" t="s">
        <v>265</v>
      </c>
      <c r="C117" s="361"/>
      <c r="D117" s="361"/>
      <c r="E117" s="361"/>
      <c r="F117" s="81">
        <f>F98+F114</f>
        <v>0</v>
      </c>
      <c r="G117" s="176" t="s">
        <v>114</v>
      </c>
      <c r="H117" s="177" t="str">
        <f>"("&amp;ROUND(F117/1000,3)&amp;" kWh)"</f>
        <v>(0 kWh)</v>
      </c>
    </row>
    <row r="118" spans="1:8" ht="15" customHeight="1" thickBot="1">
      <c r="A118" s="304"/>
      <c r="B118" s="342" t="s">
        <v>274</v>
      </c>
      <c r="C118" s="342"/>
      <c r="D118" s="342"/>
      <c r="E118" s="342"/>
      <c r="F118" s="76">
        <f>F116+F107</f>
        <v>0</v>
      </c>
      <c r="G118" s="174" t="s">
        <v>114</v>
      </c>
      <c r="H118" s="175" t="str">
        <f>"("&amp;ROUND(F118/1000,3)&amp;" kWh)"</f>
        <v>(0 kWh)</v>
      </c>
    </row>
    <row r="119" spans="1:8" ht="15" customHeight="1">
      <c r="A119" s="318" t="s">
        <v>157</v>
      </c>
      <c r="B119" s="318" t="s">
        <v>155</v>
      </c>
      <c r="C119" s="309" t="s">
        <v>150</v>
      </c>
      <c r="D119" s="285" t="s">
        <v>151</v>
      </c>
      <c r="E119" s="285"/>
      <c r="F119" s="172">
        <f>'Logement (1)'!E22</f>
        <v>0</v>
      </c>
      <c r="G119" s="164" t="s">
        <v>7</v>
      </c>
      <c r="H119" s="379"/>
    </row>
    <row r="120" spans="1:8" ht="15" customHeight="1">
      <c r="A120" s="319"/>
      <c r="B120" s="319"/>
      <c r="C120" s="310"/>
      <c r="D120" s="350" t="s">
        <v>152</v>
      </c>
      <c r="E120" s="350"/>
      <c r="F120" s="74">
        <f>'Logement (1)'!E23</f>
        <v>0</v>
      </c>
      <c r="G120" s="52" t="s">
        <v>8</v>
      </c>
      <c r="H120" s="380"/>
    </row>
    <row r="121" spans="1:8" ht="15" customHeight="1">
      <c r="A121" s="319"/>
      <c r="B121" s="319"/>
      <c r="C121" s="310"/>
      <c r="D121" s="350" t="s">
        <v>262</v>
      </c>
      <c r="E121" s="350"/>
      <c r="F121" s="99">
        <f>IF(ISERROR(F119-$C$10*(F119-$C$7)),0,F119-$C$10*(F119-$C$7))</f>
        <v>0</v>
      </c>
      <c r="G121" s="52" t="s">
        <v>7</v>
      </c>
      <c r="H121" s="380"/>
    </row>
    <row r="122" spans="1:8" ht="15" customHeight="1">
      <c r="A122" s="319"/>
      <c r="B122" s="319"/>
      <c r="C122" s="310"/>
      <c r="D122" s="377" t="s">
        <v>285</v>
      </c>
      <c r="E122" s="367"/>
      <c r="F122" s="367"/>
      <c r="G122" s="367"/>
      <c r="H122" s="378"/>
    </row>
    <row r="123" spans="1:8" ht="15" customHeight="1">
      <c r="A123" s="319"/>
      <c r="B123" s="319"/>
      <c r="C123" s="310"/>
      <c r="D123" s="350" t="s">
        <v>282</v>
      </c>
      <c r="E123" s="350"/>
      <c r="F123" s="56">
        <f>IF(AND($B$24="Oui",$C$26&lt;&gt;"",$C$26&lt;&gt;0,$C$28&lt;&gt;"",$C$28&lt;&gt;0),$C$28*(PI()/(1/(2*100)*LN(($C$26+0.002)/$C$26)+1/($C$32*($C$26+0.002))))*($C$9-F119),0)</f>
        <v>0</v>
      </c>
      <c r="G123" s="52" t="s">
        <v>114</v>
      </c>
      <c r="H123" s="173" t="str">
        <f>"("&amp;ROUND(F123/1000,3)&amp;" kWh)"</f>
        <v>(0 kWh)</v>
      </c>
    </row>
    <row r="124" spans="1:8" ht="15" customHeight="1">
      <c r="A124" s="319"/>
      <c r="B124" s="319"/>
      <c r="C124" s="310"/>
      <c r="D124" s="350" t="s">
        <v>283</v>
      </c>
      <c r="E124" s="350"/>
      <c r="F124" s="56">
        <f>IF(AND($B$24="Oui",$C$27&lt;&gt;"",$C$27&lt;&gt;0,$C$29&lt;&gt;"",$C$29&lt;&gt;0),$C$29*(PI()/(1/(2*100)*LN(($C$27+0.002)/$C$27)+1/($C$33*($C$27+0.002))))*($C$9-F121),0)</f>
        <v>0</v>
      </c>
      <c r="G124" s="52" t="s">
        <v>114</v>
      </c>
      <c r="H124" s="173" t="str">
        <f>"("&amp;ROUND(F124/1000,3)&amp;" kWh)"</f>
        <v>(0 kWh)</v>
      </c>
    </row>
    <row r="125" spans="1:8" ht="15" customHeight="1">
      <c r="A125" s="319"/>
      <c r="B125" s="319"/>
      <c r="C125" s="310"/>
      <c r="D125" s="350" t="s">
        <v>280</v>
      </c>
      <c r="E125" s="350"/>
      <c r="F125" s="56">
        <f>IF($B$38="Oui",$C$46*($C$9-F119),$C$46*($C$9-F121))</f>
        <v>0</v>
      </c>
      <c r="G125" s="52" t="s">
        <v>114</v>
      </c>
      <c r="H125" s="173" t="str">
        <f>"("&amp;ROUND(F125/1000,3)&amp;" kWh)"</f>
        <v>(0 kWh)</v>
      </c>
    </row>
    <row r="126" spans="1:8" ht="15" customHeight="1">
      <c r="A126" s="319"/>
      <c r="B126" s="319"/>
      <c r="C126" s="310"/>
      <c r="D126" s="377" t="s">
        <v>290</v>
      </c>
      <c r="E126" s="367"/>
      <c r="F126" s="367"/>
      <c r="G126" s="367"/>
      <c r="H126" s="378"/>
    </row>
    <row r="127" spans="1:8" ht="15" customHeight="1">
      <c r="A127" s="319"/>
      <c r="B127" s="319"/>
      <c r="C127" s="310"/>
      <c r="D127" s="350" t="s">
        <v>281</v>
      </c>
      <c r="E127" s="350"/>
      <c r="F127" s="56">
        <f>1.2628*$C$20*($C$9-F119)*$C$15*'Logement (1)'!$D$7</f>
        <v>0</v>
      </c>
      <c r="G127" s="52" t="s">
        <v>114</v>
      </c>
      <c r="H127" s="173" t="str">
        <f aca="true" t="shared" si="4" ref="H127:H132">"("&amp;ROUND(F127/1000,3)&amp;" kWh)"</f>
        <v>(0 kWh)</v>
      </c>
    </row>
    <row r="128" spans="1:8" ht="15" customHeight="1">
      <c r="A128" s="319"/>
      <c r="B128" s="319"/>
      <c r="C128" s="310"/>
      <c r="D128" s="350" t="s">
        <v>284</v>
      </c>
      <c r="E128" s="350"/>
      <c r="F128" s="56">
        <f>1.2628*$C$21*($C$9-F121)*$C$15*'Logement (1)'!$D$7</f>
        <v>0</v>
      </c>
      <c r="G128" s="52" t="s">
        <v>114</v>
      </c>
      <c r="H128" s="173" t="str">
        <f t="shared" si="4"/>
        <v>(0 kWh)</v>
      </c>
    </row>
    <row r="129" spans="1:8" ht="15" customHeight="1">
      <c r="A129" s="319"/>
      <c r="B129" s="319"/>
      <c r="C129" s="310"/>
      <c r="D129" s="350" t="s">
        <v>286</v>
      </c>
      <c r="E129" s="350"/>
      <c r="F129" s="56">
        <f>F123*F120</f>
        <v>0</v>
      </c>
      <c r="G129" s="52" t="s">
        <v>114</v>
      </c>
      <c r="H129" s="173" t="str">
        <f t="shared" si="4"/>
        <v>(0 kWh)</v>
      </c>
    </row>
    <row r="130" spans="1:8" ht="15" customHeight="1">
      <c r="A130" s="319"/>
      <c r="B130" s="319"/>
      <c r="C130" s="310"/>
      <c r="D130" s="350" t="s">
        <v>287</v>
      </c>
      <c r="E130" s="350"/>
      <c r="F130" s="56">
        <f>F124*F120</f>
        <v>0</v>
      </c>
      <c r="G130" s="52" t="s">
        <v>114</v>
      </c>
      <c r="H130" s="173" t="str">
        <f t="shared" si="4"/>
        <v>(0 kWh)</v>
      </c>
    </row>
    <row r="131" spans="1:8" ht="15" customHeight="1">
      <c r="A131" s="319"/>
      <c r="B131" s="319"/>
      <c r="C131" s="310"/>
      <c r="D131" s="350" t="s">
        <v>288</v>
      </c>
      <c r="E131" s="350"/>
      <c r="F131" s="56">
        <f>F125*F120</f>
        <v>0</v>
      </c>
      <c r="G131" s="52" t="s">
        <v>114</v>
      </c>
      <c r="H131" s="173" t="str">
        <f t="shared" si="4"/>
        <v>(0 kWh)</v>
      </c>
    </row>
    <row r="132" spans="1:8" ht="15" customHeight="1">
      <c r="A132" s="319"/>
      <c r="B132" s="319"/>
      <c r="C132" s="310"/>
      <c r="D132" s="350" t="s">
        <v>222</v>
      </c>
      <c r="E132" s="350"/>
      <c r="F132" s="56">
        <f>F127+F128+F129+F130+F131</f>
        <v>0</v>
      </c>
      <c r="G132" s="52" t="s">
        <v>114</v>
      </c>
      <c r="H132" s="173" t="str">
        <f t="shared" si="4"/>
        <v>(0 kWh)</v>
      </c>
    </row>
    <row r="133" spans="1:8" ht="15" customHeight="1">
      <c r="A133" s="319"/>
      <c r="B133" s="319"/>
      <c r="C133" s="310"/>
      <c r="D133" s="377" t="s">
        <v>303</v>
      </c>
      <c r="E133" s="367"/>
      <c r="F133" s="367"/>
      <c r="G133" s="367"/>
      <c r="H133" s="378"/>
    </row>
    <row r="134" spans="1:8" ht="15" customHeight="1">
      <c r="A134" s="319"/>
      <c r="B134" s="319"/>
      <c r="C134" s="310"/>
      <c r="D134" s="300" t="s">
        <v>302</v>
      </c>
      <c r="E134" s="350"/>
      <c r="F134" s="58" t="e">
        <f>F141/F120</f>
        <v>#DIV/0!</v>
      </c>
      <c r="G134" s="57" t="s">
        <v>114</v>
      </c>
      <c r="H134" s="59" t="e">
        <f>"("&amp;ROUND(F134/1000,3)&amp;" kWh)"</f>
        <v>#DIV/0!</v>
      </c>
    </row>
    <row r="135" spans="1:8" ht="15" customHeight="1">
      <c r="A135" s="319"/>
      <c r="B135" s="319"/>
      <c r="C135" s="310"/>
      <c r="D135" s="377" t="s">
        <v>292</v>
      </c>
      <c r="E135" s="367"/>
      <c r="F135" s="367"/>
      <c r="G135" s="367"/>
      <c r="H135" s="378"/>
    </row>
    <row r="136" spans="1:8" ht="15" customHeight="1">
      <c r="A136" s="319"/>
      <c r="B136" s="319"/>
      <c r="C136" s="310"/>
      <c r="D136" s="300" t="s">
        <v>293</v>
      </c>
      <c r="E136" s="350"/>
      <c r="F136" s="56">
        <f>F127</f>
        <v>0</v>
      </c>
      <c r="G136" s="52" t="s">
        <v>114</v>
      </c>
      <c r="H136" s="173" t="str">
        <f aca="true" t="shared" si="5" ref="H136:H141">"("&amp;ROUND(F136/1000,3)&amp;" kWh)"</f>
        <v>(0 kWh)</v>
      </c>
    </row>
    <row r="137" spans="1:8" ht="15" customHeight="1">
      <c r="A137" s="319"/>
      <c r="B137" s="319"/>
      <c r="C137" s="310"/>
      <c r="D137" s="300" t="s">
        <v>294</v>
      </c>
      <c r="E137" s="350"/>
      <c r="F137" s="56">
        <f>F128*(1-$C$10)</f>
        <v>0</v>
      </c>
      <c r="G137" s="52" t="s">
        <v>114</v>
      </c>
      <c r="H137" s="173" t="str">
        <f t="shared" si="5"/>
        <v>(0 kWh)</v>
      </c>
    </row>
    <row r="138" spans="1:8" ht="15" customHeight="1">
      <c r="A138" s="319"/>
      <c r="B138" s="319"/>
      <c r="C138" s="310"/>
      <c r="D138" s="300" t="s">
        <v>295</v>
      </c>
      <c r="E138" s="350"/>
      <c r="F138" s="56">
        <f>F129</f>
        <v>0</v>
      </c>
      <c r="G138" s="52" t="s">
        <v>114</v>
      </c>
      <c r="H138" s="173" t="str">
        <f t="shared" si="5"/>
        <v>(0 kWh)</v>
      </c>
    </row>
    <row r="139" spans="1:8" ht="15" customHeight="1">
      <c r="A139" s="319"/>
      <c r="B139" s="319"/>
      <c r="C139" s="310"/>
      <c r="D139" s="300" t="s">
        <v>296</v>
      </c>
      <c r="E139" s="350"/>
      <c r="F139" s="56">
        <f>F130*(1-$C$10)</f>
        <v>0</v>
      </c>
      <c r="G139" s="52" t="s">
        <v>114</v>
      </c>
      <c r="H139" s="173" t="str">
        <f t="shared" si="5"/>
        <v>(0 kWh)</v>
      </c>
    </row>
    <row r="140" spans="1:8" ht="15" customHeight="1">
      <c r="A140" s="319"/>
      <c r="B140" s="319"/>
      <c r="C140" s="310"/>
      <c r="D140" s="300" t="s">
        <v>291</v>
      </c>
      <c r="E140" s="350"/>
      <c r="F140" s="56">
        <f>IF($B$24="Oui",F131,F131*(1-$C$10))</f>
        <v>0</v>
      </c>
      <c r="G140" s="52" t="s">
        <v>114</v>
      </c>
      <c r="H140" s="173" t="str">
        <f t="shared" si="5"/>
        <v>(0 kWh)</v>
      </c>
    </row>
    <row r="141" spans="1:8" ht="15" customHeight="1" thickBot="1">
      <c r="A141" s="319"/>
      <c r="B141" s="319"/>
      <c r="C141" s="304"/>
      <c r="D141" s="320" t="s">
        <v>297</v>
      </c>
      <c r="E141" s="342"/>
      <c r="F141" s="76">
        <f>SUM(F136:F140)</f>
        <v>0</v>
      </c>
      <c r="G141" s="174" t="s">
        <v>114</v>
      </c>
      <c r="H141" s="175" t="str">
        <f t="shared" si="5"/>
        <v>(0 kWh)</v>
      </c>
    </row>
    <row r="142" spans="1:8" ht="15" customHeight="1">
      <c r="A142" s="319"/>
      <c r="B142" s="319"/>
      <c r="C142" s="309" t="s">
        <v>154</v>
      </c>
      <c r="D142" s="285" t="s">
        <v>151</v>
      </c>
      <c r="E142" s="285"/>
      <c r="F142" s="172">
        <f>'Logement (1)'!E24</f>
        <v>0</v>
      </c>
      <c r="G142" s="164" t="s">
        <v>7</v>
      </c>
      <c r="H142" s="379"/>
    </row>
    <row r="143" spans="1:8" ht="15" customHeight="1">
      <c r="A143" s="319"/>
      <c r="B143" s="319"/>
      <c r="C143" s="310"/>
      <c r="D143" s="350" t="s">
        <v>152</v>
      </c>
      <c r="E143" s="350"/>
      <c r="F143" s="74">
        <f>24-F120</f>
        <v>24</v>
      </c>
      <c r="G143" s="52" t="s">
        <v>8</v>
      </c>
      <c r="H143" s="380"/>
    </row>
    <row r="144" spans="1:8" ht="15" customHeight="1">
      <c r="A144" s="319"/>
      <c r="B144" s="319"/>
      <c r="C144" s="310"/>
      <c r="D144" s="350" t="s">
        <v>262</v>
      </c>
      <c r="E144" s="350"/>
      <c r="F144" s="109">
        <f>IF(ISERROR(F142-$C$10*(F142-$C$7)),0,F142-$C$10*(F142-$C$7))</f>
        <v>0</v>
      </c>
      <c r="G144" s="52" t="s">
        <v>7</v>
      </c>
      <c r="H144" s="380"/>
    </row>
    <row r="145" spans="1:8" ht="15" customHeight="1">
      <c r="A145" s="319"/>
      <c r="B145" s="319"/>
      <c r="C145" s="310"/>
      <c r="D145" s="377" t="s">
        <v>285</v>
      </c>
      <c r="E145" s="367"/>
      <c r="F145" s="367"/>
      <c r="G145" s="367"/>
      <c r="H145" s="378"/>
    </row>
    <row r="146" spans="1:8" ht="15" customHeight="1">
      <c r="A146" s="319"/>
      <c r="B146" s="319"/>
      <c r="C146" s="310"/>
      <c r="D146" s="350" t="s">
        <v>280</v>
      </c>
      <c r="E146" s="350"/>
      <c r="F146" s="58">
        <f>IF($B$38="Oui",$C$46*($C$9-F142),$C$46*($C$9-F144))</f>
        <v>0</v>
      </c>
      <c r="G146" s="57" t="s">
        <v>114</v>
      </c>
      <c r="H146" s="59" t="str">
        <f>"("&amp;ROUND(F146/1000,3)&amp;" kWh)"</f>
        <v>(0 kWh)</v>
      </c>
    </row>
    <row r="147" spans="1:8" ht="15" customHeight="1">
      <c r="A147" s="319"/>
      <c r="B147" s="319"/>
      <c r="C147" s="310"/>
      <c r="D147" s="377" t="s">
        <v>289</v>
      </c>
      <c r="E147" s="367"/>
      <c r="F147" s="367"/>
      <c r="G147" s="367"/>
      <c r="H147" s="378"/>
    </row>
    <row r="148" spans="1:8" ht="15" customHeight="1">
      <c r="A148" s="319"/>
      <c r="B148" s="319"/>
      <c r="C148" s="310"/>
      <c r="D148" s="350" t="s">
        <v>288</v>
      </c>
      <c r="E148" s="350"/>
      <c r="F148" s="56">
        <f>F146*F143</f>
        <v>0</v>
      </c>
      <c r="G148" s="52" t="s">
        <v>114</v>
      </c>
      <c r="H148" s="173" t="str">
        <f>"("&amp;ROUND(F148/1000,3)&amp;" kWh)"</f>
        <v>(0 kWh)</v>
      </c>
    </row>
    <row r="149" spans="1:8" ht="15" customHeight="1">
      <c r="A149" s="319"/>
      <c r="B149" s="319"/>
      <c r="C149" s="310"/>
      <c r="D149" s="377" t="s">
        <v>298</v>
      </c>
      <c r="E149" s="367"/>
      <c r="F149" s="367"/>
      <c r="G149" s="367"/>
      <c r="H149" s="378"/>
    </row>
    <row r="150" spans="1:8" ht="15" customHeight="1" thickBot="1">
      <c r="A150" s="319"/>
      <c r="B150" s="277"/>
      <c r="C150" s="304"/>
      <c r="D150" s="320" t="s">
        <v>291</v>
      </c>
      <c r="E150" s="342"/>
      <c r="F150" s="76">
        <f>IF($B$38="Oui",F148,F148*(1-$C$10))</f>
        <v>0</v>
      </c>
      <c r="G150" s="174" t="s">
        <v>114</v>
      </c>
      <c r="H150" s="175" t="str">
        <f>"("&amp;ROUND(F150/1000,3)&amp;" kWh)"</f>
        <v>(0 kWh)</v>
      </c>
    </row>
    <row r="151" spans="1:8" ht="15" customHeight="1">
      <c r="A151" s="310"/>
      <c r="B151" s="361" t="s">
        <v>265</v>
      </c>
      <c r="C151" s="361"/>
      <c r="D151" s="361"/>
      <c r="E151" s="361"/>
      <c r="F151" s="81">
        <f>F132+F148</f>
        <v>0</v>
      </c>
      <c r="G151" s="176" t="s">
        <v>114</v>
      </c>
      <c r="H151" s="177" t="str">
        <f>"("&amp;ROUND(F151/1000,3)&amp;" kWh)"</f>
        <v>(0 kWh)</v>
      </c>
    </row>
    <row r="152" spans="1:8" ht="15" customHeight="1" thickBot="1">
      <c r="A152" s="304"/>
      <c r="B152" s="342" t="s">
        <v>274</v>
      </c>
      <c r="C152" s="342"/>
      <c r="D152" s="342"/>
      <c r="E152" s="342"/>
      <c r="F152" s="76">
        <f>F150+F141</f>
        <v>0</v>
      </c>
      <c r="G152" s="174" t="s">
        <v>114</v>
      </c>
      <c r="H152" s="175" t="str">
        <f>"("&amp;ROUND(F152/1000,3)&amp;" kWh)"</f>
        <v>(0 kWh)</v>
      </c>
    </row>
    <row r="153" spans="1:8" ht="15" customHeight="1">
      <c r="A153" s="318" t="s">
        <v>158</v>
      </c>
      <c r="B153" s="318" t="s">
        <v>155</v>
      </c>
      <c r="C153" s="309" t="s">
        <v>150</v>
      </c>
      <c r="D153" s="285" t="s">
        <v>151</v>
      </c>
      <c r="E153" s="285"/>
      <c r="F153" s="172">
        <f>'Logement (1)'!E26</f>
        <v>0</v>
      </c>
      <c r="G153" s="164" t="s">
        <v>7</v>
      </c>
      <c r="H153" s="379"/>
    </row>
    <row r="154" spans="1:8" ht="15" customHeight="1">
      <c r="A154" s="319"/>
      <c r="B154" s="319"/>
      <c r="C154" s="310"/>
      <c r="D154" s="350" t="s">
        <v>152</v>
      </c>
      <c r="E154" s="350"/>
      <c r="F154" s="74">
        <f>'Logement (1)'!E27</f>
        <v>0</v>
      </c>
      <c r="G154" s="52" t="s">
        <v>8</v>
      </c>
      <c r="H154" s="380"/>
    </row>
    <row r="155" spans="1:8" ht="15" customHeight="1">
      <c r="A155" s="319"/>
      <c r="B155" s="319"/>
      <c r="C155" s="310"/>
      <c r="D155" s="350" t="s">
        <v>262</v>
      </c>
      <c r="E155" s="350"/>
      <c r="F155" s="99">
        <f>IF(ISERROR(F153-$C$10*(F153-$C$7)),0,F153-$C$10*(F153-$C$7))</f>
        <v>0</v>
      </c>
      <c r="G155" s="52" t="s">
        <v>7</v>
      </c>
      <c r="H155" s="380"/>
    </row>
    <row r="156" spans="1:8" ht="15" customHeight="1">
      <c r="A156" s="319"/>
      <c r="B156" s="319"/>
      <c r="C156" s="310"/>
      <c r="D156" s="377" t="s">
        <v>285</v>
      </c>
      <c r="E156" s="367"/>
      <c r="F156" s="367"/>
      <c r="G156" s="367"/>
      <c r="H156" s="378"/>
    </row>
    <row r="157" spans="1:8" ht="15" customHeight="1">
      <c r="A157" s="319"/>
      <c r="B157" s="319"/>
      <c r="C157" s="310"/>
      <c r="D157" s="350" t="s">
        <v>282</v>
      </c>
      <c r="E157" s="350"/>
      <c r="F157" s="56">
        <f>IF(AND($B$24="Oui",$C$26&lt;&gt;"",$C$26&lt;&gt;0,$C$28&lt;&gt;"",$C$28&lt;&gt;0),$C$28*(PI()/(1/(2*100)*LN(($C$26+0.002)/$C$26)+1/($C$32*($C$26+0.002))))*($C$9-F153),0)</f>
        <v>0</v>
      </c>
      <c r="G157" s="52" t="s">
        <v>114</v>
      </c>
      <c r="H157" s="173" t="str">
        <f>"("&amp;ROUND(F157/1000,3)&amp;" kWh)"</f>
        <v>(0 kWh)</v>
      </c>
    </row>
    <row r="158" spans="1:8" ht="15" customHeight="1">
      <c r="A158" s="319"/>
      <c r="B158" s="319"/>
      <c r="C158" s="310"/>
      <c r="D158" s="350" t="s">
        <v>283</v>
      </c>
      <c r="E158" s="350"/>
      <c r="F158" s="56">
        <f>IF(AND($B$24="Oui",$C$27&lt;&gt;"",$C$27&lt;&gt;0,$C$29&lt;&gt;"",$C$29&lt;&gt;0),$C$29*(PI()/(1/(2*100)*LN(($C$27+0.002)/$C$27)+1/($C$33*($C$27+0.002))))*($C$9-F155),0)</f>
        <v>0</v>
      </c>
      <c r="G158" s="52" t="s">
        <v>114</v>
      </c>
      <c r="H158" s="173" t="str">
        <f>"("&amp;ROUND(F158/1000,3)&amp;" kWh)"</f>
        <v>(0 kWh)</v>
      </c>
    </row>
    <row r="159" spans="1:8" ht="15" customHeight="1">
      <c r="A159" s="319"/>
      <c r="B159" s="319"/>
      <c r="C159" s="310"/>
      <c r="D159" s="350" t="s">
        <v>280</v>
      </c>
      <c r="E159" s="350"/>
      <c r="F159" s="56">
        <f>IF($B$38="Oui",$C$46*($C$9-F153),$C$46*($C$9-F155))</f>
        <v>0</v>
      </c>
      <c r="G159" s="52" t="s">
        <v>114</v>
      </c>
      <c r="H159" s="173" t="str">
        <f>"("&amp;ROUND(F159/1000,3)&amp;" kWh)"</f>
        <v>(0 kWh)</v>
      </c>
    </row>
    <row r="160" spans="1:8" ht="15" customHeight="1">
      <c r="A160" s="319"/>
      <c r="B160" s="319"/>
      <c r="C160" s="310"/>
      <c r="D160" s="377" t="s">
        <v>290</v>
      </c>
      <c r="E160" s="367"/>
      <c r="F160" s="367"/>
      <c r="G160" s="367"/>
      <c r="H160" s="378"/>
    </row>
    <row r="161" spans="1:8" ht="15" customHeight="1">
      <c r="A161" s="319"/>
      <c r="B161" s="319"/>
      <c r="C161" s="310"/>
      <c r="D161" s="350" t="s">
        <v>281</v>
      </c>
      <c r="E161" s="350"/>
      <c r="F161" s="56">
        <f>1.2628*$C$20*($C$9-F153)*$C$15*'Logement (1)'!$D$7</f>
        <v>0</v>
      </c>
      <c r="G161" s="52" t="s">
        <v>114</v>
      </c>
      <c r="H161" s="173" t="str">
        <f aca="true" t="shared" si="6" ref="H161:H166">"("&amp;ROUND(F161/1000,3)&amp;" kWh)"</f>
        <v>(0 kWh)</v>
      </c>
    </row>
    <row r="162" spans="1:8" ht="15" customHeight="1">
      <c r="A162" s="319"/>
      <c r="B162" s="319"/>
      <c r="C162" s="310"/>
      <c r="D162" s="350" t="s">
        <v>284</v>
      </c>
      <c r="E162" s="350"/>
      <c r="F162" s="56">
        <f>1.2628*$C$21*($C$9-F155)*$C$15*'Logement (1)'!$D$7</f>
        <v>0</v>
      </c>
      <c r="G162" s="52" t="s">
        <v>114</v>
      </c>
      <c r="H162" s="173" t="str">
        <f t="shared" si="6"/>
        <v>(0 kWh)</v>
      </c>
    </row>
    <row r="163" spans="1:8" ht="15" customHeight="1">
      <c r="A163" s="319"/>
      <c r="B163" s="319"/>
      <c r="C163" s="310"/>
      <c r="D163" s="350" t="s">
        <v>286</v>
      </c>
      <c r="E163" s="350"/>
      <c r="F163" s="56">
        <f>F157*F154</f>
        <v>0</v>
      </c>
      <c r="G163" s="52" t="s">
        <v>114</v>
      </c>
      <c r="H163" s="173" t="str">
        <f t="shared" si="6"/>
        <v>(0 kWh)</v>
      </c>
    </row>
    <row r="164" spans="1:8" ht="15" customHeight="1">
      <c r="A164" s="319"/>
      <c r="B164" s="319"/>
      <c r="C164" s="310"/>
      <c r="D164" s="350" t="s">
        <v>287</v>
      </c>
      <c r="E164" s="350"/>
      <c r="F164" s="56">
        <f>F158*F154</f>
        <v>0</v>
      </c>
      <c r="G164" s="52" t="s">
        <v>114</v>
      </c>
      <c r="H164" s="173" t="str">
        <f t="shared" si="6"/>
        <v>(0 kWh)</v>
      </c>
    </row>
    <row r="165" spans="1:8" ht="15" customHeight="1">
      <c r="A165" s="319"/>
      <c r="B165" s="319"/>
      <c r="C165" s="310"/>
      <c r="D165" s="350" t="s">
        <v>288</v>
      </c>
      <c r="E165" s="350"/>
      <c r="F165" s="56">
        <f>F159*F154</f>
        <v>0</v>
      </c>
      <c r="G165" s="52" t="s">
        <v>114</v>
      </c>
      <c r="H165" s="173" t="str">
        <f t="shared" si="6"/>
        <v>(0 kWh)</v>
      </c>
    </row>
    <row r="166" spans="1:8" ht="15" customHeight="1">
      <c r="A166" s="319"/>
      <c r="B166" s="319"/>
      <c r="C166" s="310"/>
      <c r="D166" s="350" t="s">
        <v>222</v>
      </c>
      <c r="E166" s="350"/>
      <c r="F166" s="56">
        <f>F161+F162+F163+F164+F165</f>
        <v>0</v>
      </c>
      <c r="G166" s="52" t="s">
        <v>114</v>
      </c>
      <c r="H166" s="173" t="str">
        <f t="shared" si="6"/>
        <v>(0 kWh)</v>
      </c>
    </row>
    <row r="167" spans="1:8" ht="15" customHeight="1">
      <c r="A167" s="319"/>
      <c r="B167" s="319"/>
      <c r="C167" s="310"/>
      <c r="D167" s="377" t="s">
        <v>303</v>
      </c>
      <c r="E167" s="367"/>
      <c r="F167" s="367"/>
      <c r="G167" s="367"/>
      <c r="H167" s="378"/>
    </row>
    <row r="168" spans="1:8" ht="15" customHeight="1">
      <c r="A168" s="319"/>
      <c r="B168" s="319"/>
      <c r="C168" s="310"/>
      <c r="D168" s="300" t="s">
        <v>302</v>
      </c>
      <c r="E168" s="350"/>
      <c r="F168" s="58" t="e">
        <f>F175/F154</f>
        <v>#DIV/0!</v>
      </c>
      <c r="G168" s="57" t="s">
        <v>114</v>
      </c>
      <c r="H168" s="59" t="e">
        <f>"("&amp;ROUND(F168/1000,3)&amp;" kWh)"</f>
        <v>#DIV/0!</v>
      </c>
    </row>
    <row r="169" spans="1:8" ht="15" customHeight="1">
      <c r="A169" s="319"/>
      <c r="B169" s="319"/>
      <c r="C169" s="310"/>
      <c r="D169" s="377" t="s">
        <v>292</v>
      </c>
      <c r="E169" s="367"/>
      <c r="F169" s="367"/>
      <c r="G169" s="367"/>
      <c r="H169" s="378"/>
    </row>
    <row r="170" spans="1:8" ht="15" customHeight="1">
      <c r="A170" s="319"/>
      <c r="B170" s="319"/>
      <c r="C170" s="310"/>
      <c r="D170" s="300" t="s">
        <v>293</v>
      </c>
      <c r="E170" s="350"/>
      <c r="F170" s="56">
        <f>F161</f>
        <v>0</v>
      </c>
      <c r="G170" s="52" t="s">
        <v>114</v>
      </c>
      <c r="H170" s="173" t="str">
        <f aca="true" t="shared" si="7" ref="H170:H175">"("&amp;ROUND(F170/1000,3)&amp;" kWh)"</f>
        <v>(0 kWh)</v>
      </c>
    </row>
    <row r="171" spans="1:8" ht="15" customHeight="1">
      <c r="A171" s="319"/>
      <c r="B171" s="319"/>
      <c r="C171" s="310"/>
      <c r="D171" s="300" t="s">
        <v>294</v>
      </c>
      <c r="E171" s="350"/>
      <c r="F171" s="56">
        <f>F162*(1-$C$10)</f>
        <v>0</v>
      </c>
      <c r="G171" s="52" t="s">
        <v>114</v>
      </c>
      <c r="H171" s="173" t="str">
        <f t="shared" si="7"/>
        <v>(0 kWh)</v>
      </c>
    </row>
    <row r="172" spans="1:8" ht="15" customHeight="1">
      <c r="A172" s="319"/>
      <c r="B172" s="319"/>
      <c r="C172" s="310"/>
      <c r="D172" s="300" t="s">
        <v>295</v>
      </c>
      <c r="E172" s="350"/>
      <c r="F172" s="56">
        <f>F163</f>
        <v>0</v>
      </c>
      <c r="G172" s="52" t="s">
        <v>114</v>
      </c>
      <c r="H172" s="173" t="str">
        <f t="shared" si="7"/>
        <v>(0 kWh)</v>
      </c>
    </row>
    <row r="173" spans="1:8" ht="15" customHeight="1">
      <c r="A173" s="319"/>
      <c r="B173" s="319"/>
      <c r="C173" s="310"/>
      <c r="D173" s="300" t="s">
        <v>296</v>
      </c>
      <c r="E173" s="350"/>
      <c r="F173" s="56">
        <f>F164*(1-$C$10)</f>
        <v>0</v>
      </c>
      <c r="G173" s="52" t="s">
        <v>114</v>
      </c>
      <c r="H173" s="173" t="str">
        <f t="shared" si="7"/>
        <v>(0 kWh)</v>
      </c>
    </row>
    <row r="174" spans="1:8" ht="15" customHeight="1">
      <c r="A174" s="319"/>
      <c r="B174" s="319"/>
      <c r="C174" s="310"/>
      <c r="D174" s="300" t="s">
        <v>291</v>
      </c>
      <c r="E174" s="350"/>
      <c r="F174" s="56">
        <f>IF($B$24="Oui",F165,F165*(1-$C$10))</f>
        <v>0</v>
      </c>
      <c r="G174" s="52" t="s">
        <v>114</v>
      </c>
      <c r="H174" s="173" t="str">
        <f t="shared" si="7"/>
        <v>(0 kWh)</v>
      </c>
    </row>
    <row r="175" spans="1:8" ht="15" customHeight="1" thickBot="1">
      <c r="A175" s="319"/>
      <c r="B175" s="319"/>
      <c r="C175" s="304"/>
      <c r="D175" s="320" t="s">
        <v>297</v>
      </c>
      <c r="E175" s="342"/>
      <c r="F175" s="76">
        <f>SUM(F170:F174)</f>
        <v>0</v>
      </c>
      <c r="G175" s="174" t="s">
        <v>114</v>
      </c>
      <c r="H175" s="175" t="str">
        <f t="shared" si="7"/>
        <v>(0 kWh)</v>
      </c>
    </row>
    <row r="176" spans="1:8" ht="15" customHeight="1">
      <c r="A176" s="319"/>
      <c r="B176" s="319"/>
      <c r="C176" s="309" t="s">
        <v>154</v>
      </c>
      <c r="D176" s="285" t="s">
        <v>151</v>
      </c>
      <c r="E176" s="285"/>
      <c r="F176" s="172">
        <f>'Logement (1)'!E28</f>
        <v>0</v>
      </c>
      <c r="G176" s="164" t="s">
        <v>7</v>
      </c>
      <c r="H176" s="379"/>
    </row>
    <row r="177" spans="1:8" ht="15" customHeight="1">
      <c r="A177" s="319"/>
      <c r="B177" s="319"/>
      <c r="C177" s="310"/>
      <c r="D177" s="350" t="s">
        <v>152</v>
      </c>
      <c r="E177" s="350"/>
      <c r="F177" s="74">
        <f>24-F154</f>
        <v>24</v>
      </c>
      <c r="G177" s="52" t="s">
        <v>8</v>
      </c>
      <c r="H177" s="380"/>
    </row>
    <row r="178" spans="1:8" ht="15" customHeight="1">
      <c r="A178" s="319"/>
      <c r="B178" s="319"/>
      <c r="C178" s="310"/>
      <c r="D178" s="350" t="s">
        <v>262</v>
      </c>
      <c r="E178" s="350"/>
      <c r="F178" s="109">
        <f>IF(ISERROR(F176-$C$10*(F176-$C$7)),0,F176-$C$10*(F176-$C$7))</f>
        <v>0</v>
      </c>
      <c r="G178" s="52" t="s">
        <v>7</v>
      </c>
      <c r="H178" s="380"/>
    </row>
    <row r="179" spans="1:8" ht="15" customHeight="1">
      <c r="A179" s="319"/>
      <c r="B179" s="319"/>
      <c r="C179" s="310"/>
      <c r="D179" s="377" t="s">
        <v>285</v>
      </c>
      <c r="E179" s="367"/>
      <c r="F179" s="367"/>
      <c r="G179" s="367"/>
      <c r="H179" s="378"/>
    </row>
    <row r="180" spans="1:8" ht="15" customHeight="1">
      <c r="A180" s="319"/>
      <c r="B180" s="319"/>
      <c r="C180" s="310"/>
      <c r="D180" s="350" t="s">
        <v>280</v>
      </c>
      <c r="E180" s="350"/>
      <c r="F180" s="56">
        <f>IF($B$38="Oui",$C$46*($C$9-F176),$C$46*($C$9-F178))</f>
        <v>0</v>
      </c>
      <c r="G180" s="52" t="s">
        <v>114</v>
      </c>
      <c r="H180" s="173" t="str">
        <f>"("&amp;ROUND(F180/1000,3)&amp;" kWh)"</f>
        <v>(0 kWh)</v>
      </c>
    </row>
    <row r="181" spans="1:8" ht="15" customHeight="1">
      <c r="A181" s="319"/>
      <c r="B181" s="319"/>
      <c r="C181" s="310"/>
      <c r="D181" s="377" t="s">
        <v>289</v>
      </c>
      <c r="E181" s="367"/>
      <c r="F181" s="367"/>
      <c r="G181" s="367"/>
      <c r="H181" s="378"/>
    </row>
    <row r="182" spans="1:8" ht="15" customHeight="1">
      <c r="A182" s="319"/>
      <c r="B182" s="319"/>
      <c r="C182" s="310"/>
      <c r="D182" s="350" t="s">
        <v>288</v>
      </c>
      <c r="E182" s="350"/>
      <c r="F182" s="56">
        <f>F180*F177</f>
        <v>0</v>
      </c>
      <c r="G182" s="52" t="s">
        <v>114</v>
      </c>
      <c r="H182" s="173" t="str">
        <f>"("&amp;ROUND(F182/1000,3)&amp;" kWh)"</f>
        <v>(0 kWh)</v>
      </c>
    </row>
    <row r="183" spans="1:8" ht="15" customHeight="1">
      <c r="A183" s="319"/>
      <c r="B183" s="319"/>
      <c r="C183" s="310"/>
      <c r="D183" s="377" t="s">
        <v>298</v>
      </c>
      <c r="E183" s="367"/>
      <c r="F183" s="367"/>
      <c r="G183" s="367"/>
      <c r="H183" s="378"/>
    </row>
    <row r="184" spans="1:8" ht="15" customHeight="1" thickBot="1">
      <c r="A184" s="319"/>
      <c r="B184" s="277"/>
      <c r="C184" s="304"/>
      <c r="D184" s="320" t="s">
        <v>291</v>
      </c>
      <c r="E184" s="342"/>
      <c r="F184" s="76">
        <f>IF($B$38="Oui",F182,F182*(1-$C$10))</f>
        <v>0</v>
      </c>
      <c r="G184" s="174" t="s">
        <v>114</v>
      </c>
      <c r="H184" s="175" t="str">
        <f>"("&amp;ROUND(F184/1000,3)&amp;" kWh)"</f>
        <v>(0 kWh)</v>
      </c>
    </row>
    <row r="185" spans="1:8" ht="15" customHeight="1">
      <c r="A185" s="310"/>
      <c r="B185" s="361" t="s">
        <v>265</v>
      </c>
      <c r="C185" s="361"/>
      <c r="D185" s="361"/>
      <c r="E185" s="361"/>
      <c r="F185" s="81">
        <f>F166+F182</f>
        <v>0</v>
      </c>
      <c r="G185" s="176" t="s">
        <v>114</v>
      </c>
      <c r="H185" s="177" t="str">
        <f>"("&amp;ROUND(F185/1000,3)&amp;" kWh)"</f>
        <v>(0 kWh)</v>
      </c>
    </row>
    <row r="186" spans="1:8" ht="15" customHeight="1" thickBot="1">
      <c r="A186" s="304"/>
      <c r="B186" s="342" t="s">
        <v>274</v>
      </c>
      <c r="C186" s="342"/>
      <c r="D186" s="342"/>
      <c r="E186" s="342"/>
      <c r="F186" s="76">
        <f>F184+F175</f>
        <v>0</v>
      </c>
      <c r="G186" s="174" t="s">
        <v>114</v>
      </c>
      <c r="H186" s="175" t="str">
        <f>"("&amp;ROUND(F186/1000,3)&amp;" kWh)"</f>
        <v>(0 kWh)</v>
      </c>
    </row>
    <row r="187" spans="1:8" ht="15" customHeight="1">
      <c r="A187" s="318" t="s">
        <v>159</v>
      </c>
      <c r="B187" s="318" t="s">
        <v>155</v>
      </c>
      <c r="C187" s="309" t="s">
        <v>150</v>
      </c>
      <c r="D187" s="285" t="s">
        <v>151</v>
      </c>
      <c r="E187" s="285"/>
      <c r="F187" s="172">
        <f>'Logement (1)'!E30</f>
        <v>0</v>
      </c>
      <c r="G187" s="164" t="s">
        <v>7</v>
      </c>
      <c r="H187" s="379"/>
    </row>
    <row r="188" spans="1:8" ht="15" customHeight="1">
      <c r="A188" s="319"/>
      <c r="B188" s="319"/>
      <c r="C188" s="310"/>
      <c r="D188" s="350" t="s">
        <v>152</v>
      </c>
      <c r="E188" s="350"/>
      <c r="F188" s="74">
        <f>'Logement (1)'!E31</f>
        <v>0</v>
      </c>
      <c r="G188" s="52" t="s">
        <v>8</v>
      </c>
      <c r="H188" s="380"/>
    </row>
    <row r="189" spans="1:8" ht="15" customHeight="1">
      <c r="A189" s="319"/>
      <c r="B189" s="319"/>
      <c r="C189" s="310"/>
      <c r="D189" s="350" t="s">
        <v>262</v>
      </c>
      <c r="E189" s="350"/>
      <c r="F189" s="99">
        <f>IF(ISERROR(F187-$C$10*(F187-$C$7)),0,F187-$C$10*(F187-$C$7))</f>
        <v>0</v>
      </c>
      <c r="G189" s="52" t="s">
        <v>7</v>
      </c>
      <c r="H189" s="380"/>
    </row>
    <row r="190" spans="1:8" ht="15" customHeight="1">
      <c r="A190" s="319"/>
      <c r="B190" s="319"/>
      <c r="C190" s="310"/>
      <c r="D190" s="377" t="s">
        <v>285</v>
      </c>
      <c r="E190" s="367"/>
      <c r="F190" s="367"/>
      <c r="G190" s="367"/>
      <c r="H190" s="378"/>
    </row>
    <row r="191" spans="1:8" ht="15" customHeight="1">
      <c r="A191" s="319"/>
      <c r="B191" s="319"/>
      <c r="C191" s="310"/>
      <c r="D191" s="350" t="s">
        <v>282</v>
      </c>
      <c r="E191" s="350"/>
      <c r="F191" s="56">
        <f>IF(AND($B$24="Oui",$C$26&lt;&gt;"",$C$26&lt;&gt;0,$C$28&lt;&gt;"",$C$28&lt;&gt;0),$C$28*(PI()/(1/(2*100)*LN(($C$26+0.002)/$C$26)+1/($C$32*($C$26+0.002))))*($C$9-F187),0)</f>
        <v>0</v>
      </c>
      <c r="G191" s="52" t="s">
        <v>114</v>
      </c>
      <c r="H191" s="173" t="str">
        <f>"("&amp;ROUND(F191/1000,3)&amp;" kWh)"</f>
        <v>(0 kWh)</v>
      </c>
    </row>
    <row r="192" spans="1:8" ht="15" customHeight="1">
      <c r="A192" s="319"/>
      <c r="B192" s="319"/>
      <c r="C192" s="310"/>
      <c r="D192" s="350" t="s">
        <v>283</v>
      </c>
      <c r="E192" s="350"/>
      <c r="F192" s="56">
        <f>IF(AND($B$24="Oui",$C$27&lt;&gt;"",$C$27&lt;&gt;0,$C$29&lt;&gt;"",$C$29&lt;&gt;0),$C$29*(PI()/(1/(2*100)*LN(($C$27+0.002)/$C$27)+1/($C$33*($C$27+0.002))))*($C$9-F189),0)</f>
        <v>0</v>
      </c>
      <c r="G192" s="52" t="s">
        <v>114</v>
      </c>
      <c r="H192" s="173" t="str">
        <f>"("&amp;ROUND(F192/1000,3)&amp;" kWh)"</f>
        <v>(0 kWh)</v>
      </c>
    </row>
    <row r="193" spans="1:8" ht="15" customHeight="1">
      <c r="A193" s="319"/>
      <c r="B193" s="319"/>
      <c r="C193" s="310"/>
      <c r="D193" s="350" t="s">
        <v>280</v>
      </c>
      <c r="E193" s="350"/>
      <c r="F193" s="56">
        <f>IF($B$38="Oui",$C$46*($C$9-F187),$C$46*($C$9-F189))</f>
        <v>0</v>
      </c>
      <c r="G193" s="52" t="s">
        <v>114</v>
      </c>
      <c r="H193" s="173" t="str">
        <f>"("&amp;ROUND(F193/1000,3)&amp;" kWh)"</f>
        <v>(0 kWh)</v>
      </c>
    </row>
    <row r="194" spans="1:8" ht="15" customHeight="1">
      <c r="A194" s="319"/>
      <c r="B194" s="319"/>
      <c r="C194" s="310"/>
      <c r="D194" s="377" t="s">
        <v>290</v>
      </c>
      <c r="E194" s="367"/>
      <c r="F194" s="367"/>
      <c r="G194" s="367"/>
      <c r="H194" s="378"/>
    </row>
    <row r="195" spans="1:8" ht="15" customHeight="1">
      <c r="A195" s="319"/>
      <c r="B195" s="319"/>
      <c r="C195" s="310"/>
      <c r="D195" s="350" t="s">
        <v>281</v>
      </c>
      <c r="E195" s="350"/>
      <c r="F195" s="56">
        <f>1.2628*$C$20*($C$9-F187)*$C$15*'Logement (1)'!$D$7</f>
        <v>0</v>
      </c>
      <c r="G195" s="52" t="s">
        <v>114</v>
      </c>
      <c r="H195" s="173" t="str">
        <f aca="true" t="shared" si="8" ref="H195:H200">"("&amp;ROUND(F195/1000,3)&amp;" kWh)"</f>
        <v>(0 kWh)</v>
      </c>
    </row>
    <row r="196" spans="1:8" ht="15" customHeight="1">
      <c r="A196" s="319"/>
      <c r="B196" s="319"/>
      <c r="C196" s="310"/>
      <c r="D196" s="350" t="s">
        <v>284</v>
      </c>
      <c r="E196" s="350"/>
      <c r="F196" s="56">
        <f>1.2628*$C$21*($C$9-F189)*$C$15*'Logement (1)'!$D$7</f>
        <v>0</v>
      </c>
      <c r="G196" s="52" t="s">
        <v>114</v>
      </c>
      <c r="H196" s="173" t="str">
        <f t="shared" si="8"/>
        <v>(0 kWh)</v>
      </c>
    </row>
    <row r="197" spans="1:8" ht="15" customHeight="1">
      <c r="A197" s="319"/>
      <c r="B197" s="319"/>
      <c r="C197" s="310"/>
      <c r="D197" s="350" t="s">
        <v>286</v>
      </c>
      <c r="E197" s="350"/>
      <c r="F197" s="56">
        <f>F191*F188</f>
        <v>0</v>
      </c>
      <c r="G197" s="52" t="s">
        <v>114</v>
      </c>
      <c r="H197" s="173" t="str">
        <f t="shared" si="8"/>
        <v>(0 kWh)</v>
      </c>
    </row>
    <row r="198" spans="1:8" ht="15" customHeight="1">
      <c r="A198" s="319"/>
      <c r="B198" s="319"/>
      <c r="C198" s="310"/>
      <c r="D198" s="350" t="s">
        <v>287</v>
      </c>
      <c r="E198" s="350"/>
      <c r="F198" s="56">
        <f>F192*F188</f>
        <v>0</v>
      </c>
      <c r="G198" s="52" t="s">
        <v>114</v>
      </c>
      <c r="H198" s="173" t="str">
        <f t="shared" si="8"/>
        <v>(0 kWh)</v>
      </c>
    </row>
    <row r="199" spans="1:8" ht="15" customHeight="1">
      <c r="A199" s="319"/>
      <c r="B199" s="319"/>
      <c r="C199" s="310"/>
      <c r="D199" s="350" t="s">
        <v>288</v>
      </c>
      <c r="E199" s="350"/>
      <c r="F199" s="56">
        <f>F193*F188</f>
        <v>0</v>
      </c>
      <c r="G199" s="52" t="s">
        <v>114</v>
      </c>
      <c r="H199" s="173" t="str">
        <f t="shared" si="8"/>
        <v>(0 kWh)</v>
      </c>
    </row>
    <row r="200" spans="1:8" ht="15" customHeight="1">
      <c r="A200" s="319"/>
      <c r="B200" s="319"/>
      <c r="C200" s="310"/>
      <c r="D200" s="350" t="s">
        <v>222</v>
      </c>
      <c r="E200" s="350"/>
      <c r="F200" s="56">
        <f>F195+F196+F197+F198+F199</f>
        <v>0</v>
      </c>
      <c r="G200" s="52" t="s">
        <v>114</v>
      </c>
      <c r="H200" s="173" t="str">
        <f t="shared" si="8"/>
        <v>(0 kWh)</v>
      </c>
    </row>
    <row r="201" spans="1:8" ht="15" customHeight="1">
      <c r="A201" s="319"/>
      <c r="B201" s="319"/>
      <c r="C201" s="310"/>
      <c r="D201" s="377" t="s">
        <v>303</v>
      </c>
      <c r="E201" s="367"/>
      <c r="F201" s="367"/>
      <c r="G201" s="367"/>
      <c r="H201" s="378"/>
    </row>
    <row r="202" spans="1:8" ht="15" customHeight="1">
      <c r="A202" s="319"/>
      <c r="B202" s="319"/>
      <c r="C202" s="310"/>
      <c r="D202" s="300" t="s">
        <v>302</v>
      </c>
      <c r="E202" s="350"/>
      <c r="F202" s="58" t="e">
        <f>F209/F188</f>
        <v>#DIV/0!</v>
      </c>
      <c r="G202" s="57" t="s">
        <v>114</v>
      </c>
      <c r="H202" s="59" t="e">
        <f>"("&amp;ROUND(F202/1000,3)&amp;" kWh)"</f>
        <v>#DIV/0!</v>
      </c>
    </row>
    <row r="203" spans="1:8" ht="15" customHeight="1">
      <c r="A203" s="319"/>
      <c r="B203" s="319"/>
      <c r="C203" s="310"/>
      <c r="D203" s="377" t="s">
        <v>292</v>
      </c>
      <c r="E203" s="367"/>
      <c r="F203" s="367"/>
      <c r="G203" s="367"/>
      <c r="H203" s="378"/>
    </row>
    <row r="204" spans="1:8" ht="15" customHeight="1">
      <c r="A204" s="319"/>
      <c r="B204" s="319"/>
      <c r="C204" s="310"/>
      <c r="D204" s="300" t="s">
        <v>293</v>
      </c>
      <c r="E204" s="350"/>
      <c r="F204" s="56">
        <f>F195</f>
        <v>0</v>
      </c>
      <c r="G204" s="52" t="s">
        <v>114</v>
      </c>
      <c r="H204" s="173" t="str">
        <f aca="true" t="shared" si="9" ref="H204:H209">"("&amp;ROUND(F204/1000,3)&amp;" kWh)"</f>
        <v>(0 kWh)</v>
      </c>
    </row>
    <row r="205" spans="1:8" ht="15" customHeight="1">
      <c r="A205" s="319"/>
      <c r="B205" s="319"/>
      <c r="C205" s="310"/>
      <c r="D205" s="300" t="s">
        <v>294</v>
      </c>
      <c r="E205" s="350"/>
      <c r="F205" s="56">
        <f>F196*(1-$C$10)</f>
        <v>0</v>
      </c>
      <c r="G205" s="52" t="s">
        <v>114</v>
      </c>
      <c r="H205" s="173" t="str">
        <f t="shared" si="9"/>
        <v>(0 kWh)</v>
      </c>
    </row>
    <row r="206" spans="1:8" ht="15" customHeight="1">
      <c r="A206" s="319"/>
      <c r="B206" s="319"/>
      <c r="C206" s="310"/>
      <c r="D206" s="300" t="s">
        <v>295</v>
      </c>
      <c r="E206" s="350"/>
      <c r="F206" s="56">
        <f>F197</f>
        <v>0</v>
      </c>
      <c r="G206" s="52" t="s">
        <v>114</v>
      </c>
      <c r="H206" s="173" t="str">
        <f t="shared" si="9"/>
        <v>(0 kWh)</v>
      </c>
    </row>
    <row r="207" spans="1:8" ht="15" customHeight="1">
      <c r="A207" s="319"/>
      <c r="B207" s="319"/>
      <c r="C207" s="310"/>
      <c r="D207" s="300" t="s">
        <v>296</v>
      </c>
      <c r="E207" s="350"/>
      <c r="F207" s="56">
        <f>F198*(1-$C$10)</f>
        <v>0</v>
      </c>
      <c r="G207" s="52" t="s">
        <v>114</v>
      </c>
      <c r="H207" s="173" t="str">
        <f t="shared" si="9"/>
        <v>(0 kWh)</v>
      </c>
    </row>
    <row r="208" spans="1:8" ht="15" customHeight="1">
      <c r="A208" s="319"/>
      <c r="B208" s="319"/>
      <c r="C208" s="310"/>
      <c r="D208" s="300" t="s">
        <v>291</v>
      </c>
      <c r="E208" s="350"/>
      <c r="F208" s="56">
        <f>IF($B$24="Oui",F199,F199*(1-$C$10))</f>
        <v>0</v>
      </c>
      <c r="G208" s="52" t="s">
        <v>114</v>
      </c>
      <c r="H208" s="173" t="str">
        <f t="shared" si="9"/>
        <v>(0 kWh)</v>
      </c>
    </row>
    <row r="209" spans="1:8" ht="15" customHeight="1" thickBot="1">
      <c r="A209" s="319"/>
      <c r="B209" s="319"/>
      <c r="C209" s="304"/>
      <c r="D209" s="320" t="s">
        <v>297</v>
      </c>
      <c r="E209" s="342"/>
      <c r="F209" s="76">
        <f>SUM(F204:F208)</f>
        <v>0</v>
      </c>
      <c r="G209" s="174" t="s">
        <v>114</v>
      </c>
      <c r="H209" s="175" t="str">
        <f t="shared" si="9"/>
        <v>(0 kWh)</v>
      </c>
    </row>
    <row r="210" spans="1:8" ht="15" customHeight="1">
      <c r="A210" s="319"/>
      <c r="B210" s="319"/>
      <c r="C210" s="309" t="s">
        <v>154</v>
      </c>
      <c r="D210" s="285" t="s">
        <v>151</v>
      </c>
      <c r="E210" s="285"/>
      <c r="F210" s="172">
        <f>'Logement (1)'!E32</f>
        <v>0</v>
      </c>
      <c r="G210" s="164" t="s">
        <v>7</v>
      </c>
      <c r="H210" s="379"/>
    </row>
    <row r="211" spans="1:8" ht="15" customHeight="1">
      <c r="A211" s="319"/>
      <c r="B211" s="319"/>
      <c r="C211" s="310"/>
      <c r="D211" s="350" t="s">
        <v>152</v>
      </c>
      <c r="E211" s="350"/>
      <c r="F211" s="74">
        <f>24-F188</f>
        <v>24</v>
      </c>
      <c r="G211" s="52" t="s">
        <v>8</v>
      </c>
      <c r="H211" s="380"/>
    </row>
    <row r="212" spans="1:8" ht="15" customHeight="1">
      <c r="A212" s="319"/>
      <c r="B212" s="319"/>
      <c r="C212" s="310"/>
      <c r="D212" s="350" t="s">
        <v>262</v>
      </c>
      <c r="E212" s="350"/>
      <c r="F212" s="109">
        <f>IF(ISERROR(F210-$C$10*(F210-$C$7)),0,F210-$C$10*(F210-$C$7))</f>
        <v>0</v>
      </c>
      <c r="G212" s="52" t="s">
        <v>7</v>
      </c>
      <c r="H212" s="380"/>
    </row>
    <row r="213" spans="1:8" ht="15" customHeight="1">
      <c r="A213" s="319"/>
      <c r="B213" s="319"/>
      <c r="C213" s="310"/>
      <c r="D213" s="377" t="s">
        <v>285</v>
      </c>
      <c r="E213" s="367"/>
      <c r="F213" s="367"/>
      <c r="G213" s="367"/>
      <c r="H213" s="378"/>
    </row>
    <row r="214" spans="1:8" ht="15" customHeight="1">
      <c r="A214" s="319"/>
      <c r="B214" s="319"/>
      <c r="C214" s="310"/>
      <c r="D214" s="350" t="s">
        <v>280</v>
      </c>
      <c r="E214" s="350"/>
      <c r="F214" s="56">
        <f>IF($B$38="Oui",$C$46*($C$9-F210),$C$46*($C$9-F212))</f>
        <v>0</v>
      </c>
      <c r="G214" s="52" t="s">
        <v>114</v>
      </c>
      <c r="H214" s="173" t="str">
        <f>"("&amp;ROUND(F214/1000,3)&amp;" kWh)"</f>
        <v>(0 kWh)</v>
      </c>
    </row>
    <row r="215" spans="1:8" ht="15" customHeight="1">
      <c r="A215" s="319"/>
      <c r="B215" s="319"/>
      <c r="C215" s="310"/>
      <c r="D215" s="377" t="s">
        <v>289</v>
      </c>
      <c r="E215" s="367"/>
      <c r="F215" s="367"/>
      <c r="G215" s="367"/>
      <c r="H215" s="378"/>
    </row>
    <row r="216" spans="1:8" ht="15" customHeight="1">
      <c r="A216" s="319"/>
      <c r="B216" s="319"/>
      <c r="C216" s="310"/>
      <c r="D216" s="350" t="s">
        <v>288</v>
      </c>
      <c r="E216" s="350"/>
      <c r="F216" s="56">
        <f>F214*F211</f>
        <v>0</v>
      </c>
      <c r="G216" s="52" t="s">
        <v>114</v>
      </c>
      <c r="H216" s="173" t="str">
        <f>"("&amp;ROUND(F216/1000,3)&amp;" kWh)"</f>
        <v>(0 kWh)</v>
      </c>
    </row>
    <row r="217" spans="1:8" ht="15" customHeight="1">
      <c r="A217" s="319"/>
      <c r="B217" s="319"/>
      <c r="C217" s="310"/>
      <c r="D217" s="377" t="s">
        <v>298</v>
      </c>
      <c r="E217" s="367"/>
      <c r="F217" s="367"/>
      <c r="G217" s="367"/>
      <c r="H217" s="378"/>
    </row>
    <row r="218" spans="1:8" ht="15" customHeight="1" thickBot="1">
      <c r="A218" s="319"/>
      <c r="B218" s="277"/>
      <c r="C218" s="304"/>
      <c r="D218" s="320" t="s">
        <v>291</v>
      </c>
      <c r="E218" s="342"/>
      <c r="F218" s="76">
        <f>IF($B$38="Oui",F216,F216*(1-$C$10))</f>
        <v>0</v>
      </c>
      <c r="G218" s="174" t="s">
        <v>114</v>
      </c>
      <c r="H218" s="175" t="str">
        <f>"("&amp;ROUND(F218/1000,3)&amp;" kWh)"</f>
        <v>(0 kWh)</v>
      </c>
    </row>
    <row r="219" spans="1:8" ht="15" customHeight="1">
      <c r="A219" s="310"/>
      <c r="B219" s="361" t="s">
        <v>265</v>
      </c>
      <c r="C219" s="361"/>
      <c r="D219" s="361"/>
      <c r="E219" s="361"/>
      <c r="F219" s="81">
        <f>F200+F216</f>
        <v>0</v>
      </c>
      <c r="G219" s="176" t="s">
        <v>114</v>
      </c>
      <c r="H219" s="177" t="str">
        <f>"("&amp;ROUND(F219/1000,3)&amp;" kWh)"</f>
        <v>(0 kWh)</v>
      </c>
    </row>
    <row r="220" spans="1:8" ht="15" customHeight="1" thickBot="1">
      <c r="A220" s="304"/>
      <c r="B220" s="342" t="s">
        <v>274</v>
      </c>
      <c r="C220" s="342"/>
      <c r="D220" s="342"/>
      <c r="E220" s="342"/>
      <c r="F220" s="76">
        <f>F218+F209</f>
        <v>0</v>
      </c>
      <c r="G220" s="174" t="s">
        <v>114</v>
      </c>
      <c r="H220" s="175" t="str">
        <f>"("&amp;ROUND(F220/1000,3)&amp;" kWh)"</f>
        <v>(0 kWh)</v>
      </c>
    </row>
    <row r="221" spans="1:8" ht="15" customHeight="1">
      <c r="A221" s="318" t="s">
        <v>160</v>
      </c>
      <c r="B221" s="318" t="s">
        <v>155</v>
      </c>
      <c r="C221" s="309" t="s">
        <v>150</v>
      </c>
      <c r="D221" s="285" t="s">
        <v>151</v>
      </c>
      <c r="E221" s="285"/>
      <c r="F221" s="172">
        <f>'Logement (1)'!E34</f>
        <v>0</v>
      </c>
      <c r="G221" s="164" t="s">
        <v>7</v>
      </c>
      <c r="H221" s="379"/>
    </row>
    <row r="222" spans="1:8" ht="15" customHeight="1">
      <c r="A222" s="319"/>
      <c r="B222" s="319"/>
      <c r="C222" s="310"/>
      <c r="D222" s="350" t="s">
        <v>152</v>
      </c>
      <c r="E222" s="350"/>
      <c r="F222" s="74">
        <f>'Logement (1)'!E35</f>
        <v>0</v>
      </c>
      <c r="G222" s="52" t="s">
        <v>8</v>
      </c>
      <c r="H222" s="380"/>
    </row>
    <row r="223" spans="1:8" ht="15" customHeight="1">
      <c r="A223" s="319"/>
      <c r="B223" s="319"/>
      <c r="C223" s="310"/>
      <c r="D223" s="350" t="s">
        <v>262</v>
      </c>
      <c r="E223" s="350"/>
      <c r="F223" s="99">
        <f>IF(ISERROR(F221-$C$10*(F221-$C$7)),0,F221-$C$10*(F221-$C$7))</f>
        <v>0</v>
      </c>
      <c r="G223" s="52" t="s">
        <v>7</v>
      </c>
      <c r="H223" s="380"/>
    </row>
    <row r="224" spans="1:8" ht="15" customHeight="1">
      <c r="A224" s="319"/>
      <c r="B224" s="319"/>
      <c r="C224" s="310"/>
      <c r="D224" s="377" t="s">
        <v>285</v>
      </c>
      <c r="E224" s="367"/>
      <c r="F224" s="367"/>
      <c r="G224" s="367"/>
      <c r="H224" s="378"/>
    </row>
    <row r="225" spans="1:8" ht="15" customHeight="1">
      <c r="A225" s="319"/>
      <c r="B225" s="319"/>
      <c r="C225" s="310"/>
      <c r="D225" s="350" t="s">
        <v>282</v>
      </c>
      <c r="E225" s="350"/>
      <c r="F225" s="56">
        <f>IF(AND($B$24="Oui",$C$26&lt;&gt;"",$C$26&lt;&gt;0,$C$28&lt;&gt;"",$C$28&lt;&gt;0),$C$28*(PI()/(1/(2*100)*LN(($C$26+0.002)/$C$26)+1/($C$32*($C$26+0.002))))*($C$9-F221),0)</f>
        <v>0</v>
      </c>
      <c r="G225" s="52" t="s">
        <v>114</v>
      </c>
      <c r="H225" s="173" t="str">
        <f>"("&amp;ROUND(F225/1000,3)&amp;" kWh)"</f>
        <v>(0 kWh)</v>
      </c>
    </row>
    <row r="226" spans="1:8" ht="15" customHeight="1">
      <c r="A226" s="319"/>
      <c r="B226" s="319"/>
      <c r="C226" s="310"/>
      <c r="D226" s="350" t="s">
        <v>283</v>
      </c>
      <c r="E226" s="350"/>
      <c r="F226" s="56">
        <f>IF(AND($B$24="Oui",$C$27&lt;&gt;"",$C$27&lt;&gt;0,$C$29&lt;&gt;"",$C$29&lt;&gt;0),$C$29*(PI()/(1/(2*100)*LN(($C$27+0.002)/$C$27)+1/($C$33*($C$27+0.002))))*($C$9-F223),0)</f>
        <v>0</v>
      </c>
      <c r="G226" s="52" t="s">
        <v>114</v>
      </c>
      <c r="H226" s="173" t="str">
        <f>"("&amp;ROUND(F226/1000,3)&amp;" kWh)"</f>
        <v>(0 kWh)</v>
      </c>
    </row>
    <row r="227" spans="1:8" ht="15" customHeight="1">
      <c r="A227" s="319"/>
      <c r="B227" s="319"/>
      <c r="C227" s="310"/>
      <c r="D227" s="350" t="s">
        <v>280</v>
      </c>
      <c r="E227" s="350"/>
      <c r="F227" s="56">
        <f>IF($B$38="Oui",$C$46*($C$9-F221),$C$46*($C$9-F223))</f>
        <v>0</v>
      </c>
      <c r="G227" s="52" t="s">
        <v>114</v>
      </c>
      <c r="H227" s="173" t="str">
        <f>"("&amp;ROUND(F227/1000,3)&amp;" kWh)"</f>
        <v>(0 kWh)</v>
      </c>
    </row>
    <row r="228" spans="1:8" ht="15" customHeight="1">
      <c r="A228" s="319"/>
      <c r="B228" s="319"/>
      <c r="C228" s="310"/>
      <c r="D228" s="377" t="s">
        <v>290</v>
      </c>
      <c r="E228" s="367"/>
      <c r="F228" s="367"/>
      <c r="G228" s="367"/>
      <c r="H228" s="378"/>
    </row>
    <row r="229" spans="1:8" ht="15" customHeight="1">
      <c r="A229" s="319"/>
      <c r="B229" s="319"/>
      <c r="C229" s="310"/>
      <c r="D229" s="350" t="s">
        <v>281</v>
      </c>
      <c r="E229" s="350"/>
      <c r="F229" s="56">
        <f>1.2628*$C$20*($C$9-F221)*$C$15*'Logement (1)'!$D$7</f>
        <v>0</v>
      </c>
      <c r="G229" s="52" t="s">
        <v>114</v>
      </c>
      <c r="H229" s="173" t="str">
        <f aca="true" t="shared" si="10" ref="H229:H234">"("&amp;ROUND(F229/1000,3)&amp;" kWh)"</f>
        <v>(0 kWh)</v>
      </c>
    </row>
    <row r="230" spans="1:8" ht="15" customHeight="1">
      <c r="A230" s="319"/>
      <c r="B230" s="319"/>
      <c r="C230" s="310"/>
      <c r="D230" s="350" t="s">
        <v>284</v>
      </c>
      <c r="E230" s="350"/>
      <c r="F230" s="56">
        <f>1.2628*$C$21*($C$9-F223)*$C$15*'Logement (1)'!$D$7</f>
        <v>0</v>
      </c>
      <c r="G230" s="52" t="s">
        <v>114</v>
      </c>
      <c r="H230" s="173" t="str">
        <f t="shared" si="10"/>
        <v>(0 kWh)</v>
      </c>
    </row>
    <row r="231" spans="1:8" ht="15" customHeight="1">
      <c r="A231" s="319"/>
      <c r="B231" s="319"/>
      <c r="C231" s="310"/>
      <c r="D231" s="350" t="s">
        <v>286</v>
      </c>
      <c r="E231" s="350"/>
      <c r="F231" s="56">
        <f>F225*F222</f>
        <v>0</v>
      </c>
      <c r="G231" s="52" t="s">
        <v>114</v>
      </c>
      <c r="H231" s="173" t="str">
        <f t="shared" si="10"/>
        <v>(0 kWh)</v>
      </c>
    </row>
    <row r="232" spans="1:8" ht="15" customHeight="1">
      <c r="A232" s="319"/>
      <c r="B232" s="319"/>
      <c r="C232" s="310"/>
      <c r="D232" s="350" t="s">
        <v>287</v>
      </c>
      <c r="E232" s="350"/>
      <c r="F232" s="56">
        <f>F226*F222</f>
        <v>0</v>
      </c>
      <c r="G232" s="52" t="s">
        <v>114</v>
      </c>
      <c r="H232" s="173" t="str">
        <f t="shared" si="10"/>
        <v>(0 kWh)</v>
      </c>
    </row>
    <row r="233" spans="1:8" ht="15" customHeight="1">
      <c r="A233" s="319"/>
      <c r="B233" s="319"/>
      <c r="C233" s="310"/>
      <c r="D233" s="350" t="s">
        <v>288</v>
      </c>
      <c r="E233" s="350"/>
      <c r="F233" s="56">
        <f>F227*F222</f>
        <v>0</v>
      </c>
      <c r="G233" s="52" t="s">
        <v>114</v>
      </c>
      <c r="H233" s="173" t="str">
        <f t="shared" si="10"/>
        <v>(0 kWh)</v>
      </c>
    </row>
    <row r="234" spans="1:8" ht="15" customHeight="1">
      <c r="A234" s="319"/>
      <c r="B234" s="319"/>
      <c r="C234" s="310"/>
      <c r="D234" s="350" t="s">
        <v>222</v>
      </c>
      <c r="E234" s="350"/>
      <c r="F234" s="56">
        <f>F229+F230+F231+F232+F233</f>
        <v>0</v>
      </c>
      <c r="G234" s="52" t="s">
        <v>114</v>
      </c>
      <c r="H234" s="173" t="str">
        <f t="shared" si="10"/>
        <v>(0 kWh)</v>
      </c>
    </row>
    <row r="235" spans="1:8" ht="15" customHeight="1">
      <c r="A235" s="319"/>
      <c r="B235" s="319"/>
      <c r="C235" s="310"/>
      <c r="D235" s="377" t="s">
        <v>303</v>
      </c>
      <c r="E235" s="367"/>
      <c r="F235" s="367"/>
      <c r="G235" s="367"/>
      <c r="H235" s="378"/>
    </row>
    <row r="236" spans="1:8" ht="15" customHeight="1">
      <c r="A236" s="319"/>
      <c r="B236" s="319"/>
      <c r="C236" s="310"/>
      <c r="D236" s="300" t="s">
        <v>302</v>
      </c>
      <c r="E236" s="350"/>
      <c r="F236" s="58" t="e">
        <f>F243/F222</f>
        <v>#DIV/0!</v>
      </c>
      <c r="G236" s="57" t="s">
        <v>114</v>
      </c>
      <c r="H236" s="59" t="e">
        <f>"("&amp;ROUND(F236/1000,3)&amp;" kWh)"</f>
        <v>#DIV/0!</v>
      </c>
    </row>
    <row r="237" spans="1:8" ht="15" customHeight="1">
      <c r="A237" s="319"/>
      <c r="B237" s="319"/>
      <c r="C237" s="310"/>
      <c r="D237" s="377" t="s">
        <v>292</v>
      </c>
      <c r="E237" s="367"/>
      <c r="F237" s="367"/>
      <c r="G237" s="367"/>
      <c r="H237" s="378"/>
    </row>
    <row r="238" spans="1:8" ht="15" customHeight="1">
      <c r="A238" s="319"/>
      <c r="B238" s="319"/>
      <c r="C238" s="310"/>
      <c r="D238" s="300" t="s">
        <v>293</v>
      </c>
      <c r="E238" s="350"/>
      <c r="F238" s="56">
        <f>F229</f>
        <v>0</v>
      </c>
      <c r="G238" s="52" t="s">
        <v>114</v>
      </c>
      <c r="H238" s="173" t="str">
        <f aca="true" t="shared" si="11" ref="H238:H243">"("&amp;ROUND(F238/1000,3)&amp;" kWh)"</f>
        <v>(0 kWh)</v>
      </c>
    </row>
    <row r="239" spans="1:8" ht="15" customHeight="1">
      <c r="A239" s="319"/>
      <c r="B239" s="319"/>
      <c r="C239" s="310"/>
      <c r="D239" s="300" t="s">
        <v>294</v>
      </c>
      <c r="E239" s="350"/>
      <c r="F239" s="56">
        <f>F230*(1-$C$10)</f>
        <v>0</v>
      </c>
      <c r="G239" s="52" t="s">
        <v>114</v>
      </c>
      <c r="H239" s="173" t="str">
        <f t="shared" si="11"/>
        <v>(0 kWh)</v>
      </c>
    </row>
    <row r="240" spans="1:8" ht="15" customHeight="1">
      <c r="A240" s="319"/>
      <c r="B240" s="319"/>
      <c r="C240" s="310"/>
      <c r="D240" s="300" t="s">
        <v>295</v>
      </c>
      <c r="E240" s="350"/>
      <c r="F240" s="56">
        <f>F231</f>
        <v>0</v>
      </c>
      <c r="G240" s="52" t="s">
        <v>114</v>
      </c>
      <c r="H240" s="173" t="str">
        <f t="shared" si="11"/>
        <v>(0 kWh)</v>
      </c>
    </row>
    <row r="241" spans="1:8" ht="15" customHeight="1">
      <c r="A241" s="319"/>
      <c r="B241" s="319"/>
      <c r="C241" s="310"/>
      <c r="D241" s="300" t="s">
        <v>296</v>
      </c>
      <c r="E241" s="350"/>
      <c r="F241" s="56">
        <f>F232*(1-$C$10)</f>
        <v>0</v>
      </c>
      <c r="G241" s="52" t="s">
        <v>114</v>
      </c>
      <c r="H241" s="173" t="str">
        <f t="shared" si="11"/>
        <v>(0 kWh)</v>
      </c>
    </row>
    <row r="242" spans="1:8" ht="15" customHeight="1">
      <c r="A242" s="319"/>
      <c r="B242" s="319"/>
      <c r="C242" s="310"/>
      <c r="D242" s="300" t="s">
        <v>291</v>
      </c>
      <c r="E242" s="350"/>
      <c r="F242" s="56">
        <f>IF($B$24="Oui",F233,F233*(1-$C$10))</f>
        <v>0</v>
      </c>
      <c r="G242" s="52" t="s">
        <v>114</v>
      </c>
      <c r="H242" s="173" t="str">
        <f t="shared" si="11"/>
        <v>(0 kWh)</v>
      </c>
    </row>
    <row r="243" spans="1:8" ht="15" customHeight="1" thickBot="1">
      <c r="A243" s="319"/>
      <c r="B243" s="319"/>
      <c r="C243" s="304"/>
      <c r="D243" s="320" t="s">
        <v>297</v>
      </c>
      <c r="E243" s="342"/>
      <c r="F243" s="76">
        <f>SUM(F238:F242)</f>
        <v>0</v>
      </c>
      <c r="G243" s="174" t="s">
        <v>114</v>
      </c>
      <c r="H243" s="175" t="str">
        <f t="shared" si="11"/>
        <v>(0 kWh)</v>
      </c>
    </row>
    <row r="244" spans="1:8" ht="15" customHeight="1">
      <c r="A244" s="319"/>
      <c r="B244" s="319"/>
      <c r="C244" s="309" t="s">
        <v>154</v>
      </c>
      <c r="D244" s="285" t="s">
        <v>151</v>
      </c>
      <c r="E244" s="285"/>
      <c r="F244" s="172">
        <f>'Logement (1)'!E36</f>
        <v>0</v>
      </c>
      <c r="G244" s="164" t="s">
        <v>7</v>
      </c>
      <c r="H244" s="379"/>
    </row>
    <row r="245" spans="1:8" ht="15" customHeight="1">
      <c r="A245" s="319"/>
      <c r="B245" s="319"/>
      <c r="C245" s="310"/>
      <c r="D245" s="350" t="s">
        <v>152</v>
      </c>
      <c r="E245" s="350"/>
      <c r="F245" s="74">
        <f>24-F222</f>
        <v>24</v>
      </c>
      <c r="G245" s="52" t="s">
        <v>8</v>
      </c>
      <c r="H245" s="380"/>
    </row>
    <row r="246" spans="1:8" ht="15" customHeight="1">
      <c r="A246" s="319"/>
      <c r="B246" s="319"/>
      <c r="C246" s="310"/>
      <c r="D246" s="350" t="s">
        <v>262</v>
      </c>
      <c r="E246" s="350"/>
      <c r="F246" s="109">
        <f>IF(ISERROR(F244-$C$10*(F244-$C$7)),0,F244-$C$10*(F244-$C$7))</f>
        <v>0</v>
      </c>
      <c r="G246" s="52" t="s">
        <v>7</v>
      </c>
      <c r="H246" s="380"/>
    </row>
    <row r="247" spans="1:8" ht="15" customHeight="1">
      <c r="A247" s="319"/>
      <c r="B247" s="319"/>
      <c r="C247" s="310"/>
      <c r="D247" s="377" t="s">
        <v>285</v>
      </c>
      <c r="E247" s="367"/>
      <c r="F247" s="367"/>
      <c r="G247" s="367"/>
      <c r="H247" s="378"/>
    </row>
    <row r="248" spans="1:8" ht="15" customHeight="1">
      <c r="A248" s="319"/>
      <c r="B248" s="319"/>
      <c r="C248" s="310"/>
      <c r="D248" s="350" t="s">
        <v>280</v>
      </c>
      <c r="E248" s="350"/>
      <c r="F248" s="56">
        <f>IF($B$38="Oui",$C$46*($C$9-F244),$C$46*($C$9-F246))</f>
        <v>0</v>
      </c>
      <c r="G248" s="52" t="s">
        <v>114</v>
      </c>
      <c r="H248" s="173" t="str">
        <f>"("&amp;ROUND(F248/1000,3)&amp;" kWh)"</f>
        <v>(0 kWh)</v>
      </c>
    </row>
    <row r="249" spans="1:8" ht="15" customHeight="1">
      <c r="A249" s="319"/>
      <c r="B249" s="319"/>
      <c r="C249" s="310"/>
      <c r="D249" s="377" t="s">
        <v>289</v>
      </c>
      <c r="E249" s="367"/>
      <c r="F249" s="367"/>
      <c r="G249" s="367"/>
      <c r="H249" s="378"/>
    </row>
    <row r="250" spans="1:8" ht="15" customHeight="1">
      <c r="A250" s="319"/>
      <c r="B250" s="319"/>
      <c r="C250" s="310"/>
      <c r="D250" s="350" t="s">
        <v>288</v>
      </c>
      <c r="E250" s="350"/>
      <c r="F250" s="56">
        <f>F248*F245</f>
        <v>0</v>
      </c>
      <c r="G250" s="52" t="s">
        <v>114</v>
      </c>
      <c r="H250" s="173" t="str">
        <f>"("&amp;ROUND(F250/1000,3)&amp;" kWh)"</f>
        <v>(0 kWh)</v>
      </c>
    </row>
    <row r="251" spans="1:8" ht="15" customHeight="1">
      <c r="A251" s="319"/>
      <c r="B251" s="319"/>
      <c r="C251" s="310"/>
      <c r="D251" s="377" t="s">
        <v>298</v>
      </c>
      <c r="E251" s="367"/>
      <c r="F251" s="367"/>
      <c r="G251" s="367"/>
      <c r="H251" s="378"/>
    </row>
    <row r="252" spans="1:8" ht="15" customHeight="1" thickBot="1">
      <c r="A252" s="319"/>
      <c r="B252" s="277"/>
      <c r="C252" s="304"/>
      <c r="D252" s="320" t="s">
        <v>291</v>
      </c>
      <c r="E252" s="342"/>
      <c r="F252" s="76">
        <f>IF($B$38="Oui",F250,F250*(1-$C$10))</f>
        <v>0</v>
      </c>
      <c r="G252" s="174" t="s">
        <v>114</v>
      </c>
      <c r="H252" s="175" t="str">
        <f>"("&amp;ROUND(F252/1000,3)&amp;" kWh)"</f>
        <v>(0 kWh)</v>
      </c>
    </row>
    <row r="253" spans="1:8" ht="15" customHeight="1">
      <c r="A253" s="310"/>
      <c r="B253" s="361" t="s">
        <v>265</v>
      </c>
      <c r="C253" s="361"/>
      <c r="D253" s="361"/>
      <c r="E253" s="361"/>
      <c r="F253" s="81">
        <f>F234+F250</f>
        <v>0</v>
      </c>
      <c r="G253" s="176" t="s">
        <v>114</v>
      </c>
      <c r="H253" s="177" t="str">
        <f>"("&amp;ROUND(F253/1000,3)&amp;" kWh)"</f>
        <v>(0 kWh)</v>
      </c>
    </row>
    <row r="254" spans="1:8" ht="15" customHeight="1" thickBot="1">
      <c r="A254" s="304"/>
      <c r="B254" s="342" t="s">
        <v>274</v>
      </c>
      <c r="C254" s="342"/>
      <c r="D254" s="342"/>
      <c r="E254" s="342"/>
      <c r="F254" s="76">
        <f>F252+F243</f>
        <v>0</v>
      </c>
      <c r="G254" s="174" t="s">
        <v>114</v>
      </c>
      <c r="H254" s="175" t="str">
        <f>"("&amp;ROUND(F254/1000,3)&amp;" kWh)"</f>
        <v>(0 kWh)</v>
      </c>
    </row>
    <row r="255" spans="1:8" ht="15" customHeight="1">
      <c r="A255" s="318" t="s">
        <v>161</v>
      </c>
      <c r="B255" s="318" t="s">
        <v>155</v>
      </c>
      <c r="C255" s="309" t="s">
        <v>150</v>
      </c>
      <c r="D255" s="285" t="s">
        <v>151</v>
      </c>
      <c r="E255" s="285"/>
      <c r="F255" s="172">
        <f>'Logement (1)'!E38</f>
        <v>0</v>
      </c>
      <c r="G255" s="164" t="s">
        <v>7</v>
      </c>
      <c r="H255" s="379"/>
    </row>
    <row r="256" spans="1:8" ht="15" customHeight="1">
      <c r="A256" s="319"/>
      <c r="B256" s="319"/>
      <c r="C256" s="310"/>
      <c r="D256" s="350" t="s">
        <v>152</v>
      </c>
      <c r="E256" s="350"/>
      <c r="F256" s="74">
        <f>'Logement (1)'!E39</f>
        <v>0</v>
      </c>
      <c r="G256" s="52" t="s">
        <v>8</v>
      </c>
      <c r="H256" s="380"/>
    </row>
    <row r="257" spans="1:8" ht="15" customHeight="1">
      <c r="A257" s="319"/>
      <c r="B257" s="319"/>
      <c r="C257" s="310"/>
      <c r="D257" s="350" t="s">
        <v>262</v>
      </c>
      <c r="E257" s="350"/>
      <c r="F257" s="99">
        <f>IF(ISERROR(F255-$C$10*(F255-$C$7)),0,F255-$C$10*(F255-$C$7))</f>
        <v>0</v>
      </c>
      <c r="G257" s="52" t="s">
        <v>7</v>
      </c>
      <c r="H257" s="380"/>
    </row>
    <row r="258" spans="1:8" ht="15" customHeight="1">
      <c r="A258" s="319"/>
      <c r="B258" s="319"/>
      <c r="C258" s="310"/>
      <c r="D258" s="377" t="s">
        <v>285</v>
      </c>
      <c r="E258" s="367"/>
      <c r="F258" s="367"/>
      <c r="G258" s="367"/>
      <c r="H258" s="378"/>
    </row>
    <row r="259" spans="1:8" ht="15" customHeight="1">
      <c r="A259" s="319"/>
      <c r="B259" s="319"/>
      <c r="C259" s="310"/>
      <c r="D259" s="350" t="s">
        <v>282</v>
      </c>
      <c r="E259" s="350"/>
      <c r="F259" s="56">
        <f>IF(AND($B$24="Oui",$C$26&lt;&gt;"",$C$26&lt;&gt;0,$C$28&lt;&gt;"",$C$28&lt;&gt;0),$C$28*(PI()/(1/(2*100)*LN(($C$26+0.002)/$C$26)+1/($C$32*($C$26+0.002))))*($C$9-F255),0)</f>
        <v>0</v>
      </c>
      <c r="G259" s="52" t="s">
        <v>114</v>
      </c>
      <c r="H259" s="173" t="str">
        <f>"("&amp;ROUND(F259/1000,3)&amp;" kWh)"</f>
        <v>(0 kWh)</v>
      </c>
    </row>
    <row r="260" spans="1:8" ht="15" customHeight="1">
      <c r="A260" s="319"/>
      <c r="B260" s="319"/>
      <c r="C260" s="310"/>
      <c r="D260" s="350" t="s">
        <v>283</v>
      </c>
      <c r="E260" s="350"/>
      <c r="F260" s="56">
        <f>IF(AND($B$24="Oui",$C$27&lt;&gt;"",$C$27&lt;&gt;0,$C$29&lt;&gt;"",$C$29&lt;&gt;0),$C$29*(PI()/(1/(2*100)*LN(($C$27+0.002)/$C$27)+1/($C$33*($C$27+0.002))))*($C$9-F257),0)</f>
        <v>0</v>
      </c>
      <c r="G260" s="52" t="s">
        <v>114</v>
      </c>
      <c r="H260" s="173" t="str">
        <f>"("&amp;ROUND(F260/1000,3)&amp;" kWh)"</f>
        <v>(0 kWh)</v>
      </c>
    </row>
    <row r="261" spans="1:8" ht="15" customHeight="1">
      <c r="A261" s="319"/>
      <c r="B261" s="319"/>
      <c r="C261" s="310"/>
      <c r="D261" s="350" t="s">
        <v>280</v>
      </c>
      <c r="E261" s="350"/>
      <c r="F261" s="56">
        <f>IF($B$38="Oui",$C$46*($C$9-F255),$C$46*($C$9-F257))</f>
        <v>0</v>
      </c>
      <c r="G261" s="52" t="s">
        <v>114</v>
      </c>
      <c r="H261" s="173" t="str">
        <f>"("&amp;ROUND(F261/1000,3)&amp;" kWh)"</f>
        <v>(0 kWh)</v>
      </c>
    </row>
    <row r="262" spans="1:8" ht="15" customHeight="1">
      <c r="A262" s="319"/>
      <c r="B262" s="319"/>
      <c r="C262" s="310"/>
      <c r="D262" s="377" t="s">
        <v>290</v>
      </c>
      <c r="E262" s="367"/>
      <c r="F262" s="367"/>
      <c r="G262" s="367"/>
      <c r="H262" s="378"/>
    </row>
    <row r="263" spans="1:8" ht="15" customHeight="1">
      <c r="A263" s="319"/>
      <c r="B263" s="319"/>
      <c r="C263" s="310"/>
      <c r="D263" s="350" t="s">
        <v>281</v>
      </c>
      <c r="E263" s="350"/>
      <c r="F263" s="56">
        <f>1.2628*$C$20*($C$9-F255)*$C$15*'Logement (1)'!$D$7</f>
        <v>0</v>
      </c>
      <c r="G263" s="52" t="s">
        <v>114</v>
      </c>
      <c r="H263" s="173" t="str">
        <f aca="true" t="shared" si="12" ref="H263:H268">"("&amp;ROUND(F263/1000,3)&amp;" kWh)"</f>
        <v>(0 kWh)</v>
      </c>
    </row>
    <row r="264" spans="1:8" ht="15" customHeight="1">
      <c r="A264" s="319"/>
      <c r="B264" s="319"/>
      <c r="C264" s="310"/>
      <c r="D264" s="350" t="s">
        <v>284</v>
      </c>
      <c r="E264" s="350"/>
      <c r="F264" s="56">
        <f>1.2628*$C$21*($C$9-F257)*$C$15*'Logement (1)'!$D$7</f>
        <v>0</v>
      </c>
      <c r="G264" s="52" t="s">
        <v>114</v>
      </c>
      <c r="H264" s="173" t="str">
        <f t="shared" si="12"/>
        <v>(0 kWh)</v>
      </c>
    </row>
    <row r="265" spans="1:8" ht="15" customHeight="1">
      <c r="A265" s="319"/>
      <c r="B265" s="319"/>
      <c r="C265" s="310"/>
      <c r="D265" s="350" t="s">
        <v>286</v>
      </c>
      <c r="E265" s="350"/>
      <c r="F265" s="56">
        <f>F259*F256</f>
        <v>0</v>
      </c>
      <c r="G265" s="52" t="s">
        <v>114</v>
      </c>
      <c r="H265" s="173" t="str">
        <f t="shared" si="12"/>
        <v>(0 kWh)</v>
      </c>
    </row>
    <row r="266" spans="1:8" ht="15" customHeight="1">
      <c r="A266" s="319"/>
      <c r="B266" s="319"/>
      <c r="C266" s="310"/>
      <c r="D266" s="350" t="s">
        <v>287</v>
      </c>
      <c r="E266" s="350"/>
      <c r="F266" s="56">
        <f>F260*F256</f>
        <v>0</v>
      </c>
      <c r="G266" s="52" t="s">
        <v>114</v>
      </c>
      <c r="H266" s="173" t="str">
        <f t="shared" si="12"/>
        <v>(0 kWh)</v>
      </c>
    </row>
    <row r="267" spans="1:8" ht="15" customHeight="1">
      <c r="A267" s="319"/>
      <c r="B267" s="319"/>
      <c r="C267" s="310"/>
      <c r="D267" s="350" t="s">
        <v>288</v>
      </c>
      <c r="E267" s="350"/>
      <c r="F267" s="56">
        <f>F261*F256</f>
        <v>0</v>
      </c>
      <c r="G267" s="52" t="s">
        <v>114</v>
      </c>
      <c r="H267" s="173" t="str">
        <f t="shared" si="12"/>
        <v>(0 kWh)</v>
      </c>
    </row>
    <row r="268" spans="1:8" ht="15" customHeight="1">
      <c r="A268" s="319"/>
      <c r="B268" s="319"/>
      <c r="C268" s="310"/>
      <c r="D268" s="350" t="s">
        <v>222</v>
      </c>
      <c r="E268" s="350"/>
      <c r="F268" s="56">
        <f>F263+F264+F265+F266+F267</f>
        <v>0</v>
      </c>
      <c r="G268" s="52" t="s">
        <v>114</v>
      </c>
      <c r="H268" s="173" t="str">
        <f t="shared" si="12"/>
        <v>(0 kWh)</v>
      </c>
    </row>
    <row r="269" spans="1:8" ht="15" customHeight="1">
      <c r="A269" s="319"/>
      <c r="B269" s="319"/>
      <c r="C269" s="310"/>
      <c r="D269" s="377" t="s">
        <v>303</v>
      </c>
      <c r="E269" s="367"/>
      <c r="F269" s="367"/>
      <c r="G269" s="367"/>
      <c r="H269" s="378"/>
    </row>
    <row r="270" spans="1:8" ht="15" customHeight="1">
      <c r="A270" s="319"/>
      <c r="B270" s="319"/>
      <c r="C270" s="310"/>
      <c r="D270" s="300" t="s">
        <v>302</v>
      </c>
      <c r="E270" s="350"/>
      <c r="F270" s="58" t="e">
        <f>F277/F256</f>
        <v>#DIV/0!</v>
      </c>
      <c r="G270" s="57" t="s">
        <v>114</v>
      </c>
      <c r="H270" s="59" t="e">
        <f>"("&amp;ROUND(F270/1000,3)&amp;" kWh)"</f>
        <v>#DIV/0!</v>
      </c>
    </row>
    <row r="271" spans="1:8" ht="15" customHeight="1">
      <c r="A271" s="319"/>
      <c r="B271" s="319"/>
      <c r="C271" s="310"/>
      <c r="D271" s="377" t="s">
        <v>292</v>
      </c>
      <c r="E271" s="367"/>
      <c r="F271" s="367"/>
      <c r="G271" s="367"/>
      <c r="H271" s="378"/>
    </row>
    <row r="272" spans="1:8" ht="15" customHeight="1">
      <c r="A272" s="319"/>
      <c r="B272" s="319"/>
      <c r="C272" s="310"/>
      <c r="D272" s="300" t="s">
        <v>293</v>
      </c>
      <c r="E272" s="350"/>
      <c r="F272" s="56">
        <f>F263</f>
        <v>0</v>
      </c>
      <c r="G272" s="52" t="s">
        <v>114</v>
      </c>
      <c r="H272" s="173" t="str">
        <f aca="true" t="shared" si="13" ref="H272:H277">"("&amp;ROUND(F272/1000,3)&amp;" kWh)"</f>
        <v>(0 kWh)</v>
      </c>
    </row>
    <row r="273" spans="1:8" ht="15" customHeight="1">
      <c r="A273" s="319"/>
      <c r="B273" s="319"/>
      <c r="C273" s="310"/>
      <c r="D273" s="300" t="s">
        <v>294</v>
      </c>
      <c r="E273" s="350"/>
      <c r="F273" s="56">
        <f>F264*(1-$C$10)</f>
        <v>0</v>
      </c>
      <c r="G273" s="52" t="s">
        <v>114</v>
      </c>
      <c r="H273" s="173" t="str">
        <f t="shared" si="13"/>
        <v>(0 kWh)</v>
      </c>
    </row>
    <row r="274" spans="1:8" ht="15" customHeight="1">
      <c r="A274" s="319"/>
      <c r="B274" s="319"/>
      <c r="C274" s="310"/>
      <c r="D274" s="300" t="s">
        <v>295</v>
      </c>
      <c r="E274" s="350"/>
      <c r="F274" s="56">
        <f>F265</f>
        <v>0</v>
      </c>
      <c r="G274" s="52" t="s">
        <v>114</v>
      </c>
      <c r="H274" s="173" t="str">
        <f t="shared" si="13"/>
        <v>(0 kWh)</v>
      </c>
    </row>
    <row r="275" spans="1:8" ht="15" customHeight="1">
      <c r="A275" s="319"/>
      <c r="B275" s="319"/>
      <c r="C275" s="310"/>
      <c r="D275" s="300" t="s">
        <v>296</v>
      </c>
      <c r="E275" s="350"/>
      <c r="F275" s="56">
        <f>F266*(1-$C$10)</f>
        <v>0</v>
      </c>
      <c r="G275" s="52" t="s">
        <v>114</v>
      </c>
      <c r="H275" s="173" t="str">
        <f t="shared" si="13"/>
        <v>(0 kWh)</v>
      </c>
    </row>
    <row r="276" spans="1:8" ht="15" customHeight="1">
      <c r="A276" s="319"/>
      <c r="B276" s="319"/>
      <c r="C276" s="310"/>
      <c r="D276" s="300" t="s">
        <v>291</v>
      </c>
      <c r="E276" s="350"/>
      <c r="F276" s="56">
        <f>IF($B$24="Oui",F267,F267*(1-$C$10))</f>
        <v>0</v>
      </c>
      <c r="G276" s="52" t="s">
        <v>114</v>
      </c>
      <c r="H276" s="173" t="str">
        <f t="shared" si="13"/>
        <v>(0 kWh)</v>
      </c>
    </row>
    <row r="277" spans="1:8" ht="15" customHeight="1" thickBot="1">
      <c r="A277" s="319"/>
      <c r="B277" s="319"/>
      <c r="C277" s="304"/>
      <c r="D277" s="320" t="s">
        <v>297</v>
      </c>
      <c r="E277" s="342"/>
      <c r="F277" s="76">
        <f>SUM(F272:F276)</f>
        <v>0</v>
      </c>
      <c r="G277" s="174" t="s">
        <v>114</v>
      </c>
      <c r="H277" s="175" t="str">
        <f t="shared" si="13"/>
        <v>(0 kWh)</v>
      </c>
    </row>
    <row r="278" spans="1:8" ht="15" customHeight="1">
      <c r="A278" s="319"/>
      <c r="B278" s="319"/>
      <c r="C278" s="309" t="s">
        <v>154</v>
      </c>
      <c r="D278" s="285" t="s">
        <v>151</v>
      </c>
      <c r="E278" s="285"/>
      <c r="F278" s="172">
        <f>'Logement (1)'!E40</f>
        <v>0</v>
      </c>
      <c r="G278" s="164" t="s">
        <v>7</v>
      </c>
      <c r="H278" s="379"/>
    </row>
    <row r="279" spans="1:8" ht="15" customHeight="1">
      <c r="A279" s="319"/>
      <c r="B279" s="319"/>
      <c r="C279" s="310"/>
      <c r="D279" s="350" t="s">
        <v>152</v>
      </c>
      <c r="E279" s="350"/>
      <c r="F279" s="74">
        <f>24-F256</f>
        <v>24</v>
      </c>
      <c r="G279" s="52" t="s">
        <v>8</v>
      </c>
      <c r="H279" s="380"/>
    </row>
    <row r="280" spans="1:8" ht="15" customHeight="1">
      <c r="A280" s="319"/>
      <c r="B280" s="319"/>
      <c r="C280" s="310"/>
      <c r="D280" s="350" t="s">
        <v>262</v>
      </c>
      <c r="E280" s="350"/>
      <c r="F280" s="109">
        <f>IF(ISERROR(F278-$C$10*(F278-$C$7)),0,F278-$C$10*(F278-$C$7))</f>
        <v>0</v>
      </c>
      <c r="G280" s="52" t="s">
        <v>7</v>
      </c>
      <c r="H280" s="380"/>
    </row>
    <row r="281" spans="1:8" ht="15" customHeight="1">
      <c r="A281" s="319"/>
      <c r="B281" s="319"/>
      <c r="C281" s="310"/>
      <c r="D281" s="377" t="s">
        <v>285</v>
      </c>
      <c r="E281" s="367"/>
      <c r="F281" s="367"/>
      <c r="G281" s="367"/>
      <c r="H281" s="378"/>
    </row>
    <row r="282" spans="1:8" ht="15" customHeight="1">
      <c r="A282" s="319"/>
      <c r="B282" s="319"/>
      <c r="C282" s="310"/>
      <c r="D282" s="350" t="s">
        <v>280</v>
      </c>
      <c r="E282" s="350"/>
      <c r="F282" s="56">
        <f>IF($B$38="Oui",$C$46*($C$9-F278),$C$46*($C$9-F280))</f>
        <v>0</v>
      </c>
      <c r="G282" s="52" t="s">
        <v>114</v>
      </c>
      <c r="H282" s="173" t="str">
        <f>"("&amp;ROUND(F282/1000,3)&amp;" kWh)"</f>
        <v>(0 kWh)</v>
      </c>
    </row>
    <row r="283" spans="1:8" ht="15" customHeight="1">
      <c r="A283" s="319"/>
      <c r="B283" s="319"/>
      <c r="C283" s="310"/>
      <c r="D283" s="377" t="s">
        <v>289</v>
      </c>
      <c r="E283" s="367"/>
      <c r="F283" s="367"/>
      <c r="G283" s="367"/>
      <c r="H283" s="378"/>
    </row>
    <row r="284" spans="1:8" ht="15" customHeight="1">
      <c r="A284" s="319"/>
      <c r="B284" s="319"/>
      <c r="C284" s="310"/>
      <c r="D284" s="350" t="s">
        <v>288</v>
      </c>
      <c r="E284" s="350"/>
      <c r="F284" s="56">
        <f>F282*F279</f>
        <v>0</v>
      </c>
      <c r="G284" s="52" t="s">
        <v>114</v>
      </c>
      <c r="H284" s="173" t="str">
        <f>"("&amp;ROUND(F284/1000,3)&amp;" kWh)"</f>
        <v>(0 kWh)</v>
      </c>
    </row>
    <row r="285" spans="1:8" ht="15" customHeight="1">
      <c r="A285" s="319"/>
      <c r="B285" s="319"/>
      <c r="C285" s="310"/>
      <c r="D285" s="377" t="s">
        <v>298</v>
      </c>
      <c r="E285" s="367"/>
      <c r="F285" s="367"/>
      <c r="G285" s="367"/>
      <c r="H285" s="378"/>
    </row>
    <row r="286" spans="1:8" ht="15" customHeight="1" thickBot="1">
      <c r="A286" s="319"/>
      <c r="B286" s="277"/>
      <c r="C286" s="304"/>
      <c r="D286" s="320" t="s">
        <v>291</v>
      </c>
      <c r="E286" s="342"/>
      <c r="F286" s="76">
        <f>IF($B$38="Oui",F284,F284*(1-$C$10))</f>
        <v>0</v>
      </c>
      <c r="G286" s="174" t="s">
        <v>114</v>
      </c>
      <c r="H286" s="175" t="str">
        <f>"("&amp;ROUND(F286/1000,3)&amp;" kWh)"</f>
        <v>(0 kWh)</v>
      </c>
    </row>
    <row r="287" spans="1:8" ht="15" customHeight="1">
      <c r="A287" s="310"/>
      <c r="B287" s="361" t="s">
        <v>265</v>
      </c>
      <c r="C287" s="361"/>
      <c r="D287" s="361"/>
      <c r="E287" s="361"/>
      <c r="F287" s="81">
        <f>F268+F284</f>
        <v>0</v>
      </c>
      <c r="G287" s="176" t="s">
        <v>114</v>
      </c>
      <c r="H287" s="177" t="str">
        <f>"("&amp;ROUND(F287/1000,3)&amp;" kWh)"</f>
        <v>(0 kWh)</v>
      </c>
    </row>
    <row r="288" spans="1:8" ht="15" customHeight="1" thickBot="1">
      <c r="A288" s="304"/>
      <c r="B288" s="342" t="s">
        <v>274</v>
      </c>
      <c r="C288" s="342"/>
      <c r="D288" s="342"/>
      <c r="E288" s="342"/>
      <c r="F288" s="76">
        <f>F286+F277</f>
        <v>0</v>
      </c>
      <c r="G288" s="174" t="s">
        <v>114</v>
      </c>
      <c r="H288" s="175" t="str">
        <f>"("&amp;ROUND(F288/1000,3)&amp;" kWh)"</f>
        <v>(0 kWh)</v>
      </c>
    </row>
    <row r="289" spans="1:8" ht="15" customHeight="1" thickBot="1">
      <c r="A289" s="384"/>
      <c r="B289" s="385"/>
      <c r="C289" s="385"/>
      <c r="D289" s="385"/>
      <c r="E289" s="385"/>
      <c r="F289" s="385"/>
      <c r="G289" s="385"/>
      <c r="H289" s="386"/>
    </row>
    <row r="290" spans="1:8" ht="15" customHeight="1">
      <c r="A290" s="301" t="s">
        <v>220</v>
      </c>
      <c r="B290" s="417"/>
      <c r="C290" s="417"/>
      <c r="D290" s="417"/>
      <c r="E290" s="417"/>
      <c r="F290" s="417"/>
      <c r="G290" s="417"/>
      <c r="H290" s="418"/>
    </row>
    <row r="291" spans="1:8" ht="15" customHeight="1">
      <c r="A291" s="308" t="s">
        <v>268</v>
      </c>
      <c r="B291" s="350"/>
      <c r="C291" s="350"/>
      <c r="D291" s="88">
        <f>F64+F98+F132+F166+F200+F234+F268</f>
        <v>0</v>
      </c>
      <c r="E291" s="74" t="s">
        <v>114</v>
      </c>
      <c r="F291" s="51" t="str">
        <f aca="true" t="shared" si="14" ref="F291:F296">"("&amp;ROUND(D291/1000,3)&amp;" kWh)"</f>
        <v>(0 kWh)</v>
      </c>
      <c r="G291" s="350"/>
      <c r="H291" s="316"/>
    </row>
    <row r="292" spans="1:8" ht="15" customHeight="1">
      <c r="A292" s="308" t="s">
        <v>275</v>
      </c>
      <c r="B292" s="350"/>
      <c r="C292" s="350"/>
      <c r="D292" s="88">
        <f>F73+F107+F141+F175+F209+F243+F277</f>
        <v>0</v>
      </c>
      <c r="E292" s="74" t="s">
        <v>114</v>
      </c>
      <c r="F292" s="51" t="str">
        <f t="shared" si="14"/>
        <v>(0 kWh)</v>
      </c>
      <c r="G292" s="350"/>
      <c r="H292" s="316"/>
    </row>
    <row r="293" spans="1:8" ht="15" customHeight="1">
      <c r="A293" s="308" t="s">
        <v>269</v>
      </c>
      <c r="B293" s="350"/>
      <c r="C293" s="350"/>
      <c r="D293" s="88">
        <f>F80+F114+F148+F182+F216+F250+F284</f>
        <v>0</v>
      </c>
      <c r="E293" s="74" t="s">
        <v>114</v>
      </c>
      <c r="F293" s="51" t="str">
        <f t="shared" si="14"/>
        <v>(0 kWh)</v>
      </c>
      <c r="G293" s="350"/>
      <c r="H293" s="316"/>
    </row>
    <row r="294" spans="1:8" ht="15" customHeight="1">
      <c r="A294" s="308" t="s">
        <v>276</v>
      </c>
      <c r="B294" s="350"/>
      <c r="C294" s="350"/>
      <c r="D294" s="88">
        <f>F82+F116+F150+F184+F218+F252+F286</f>
        <v>0</v>
      </c>
      <c r="E294" s="74" t="s">
        <v>114</v>
      </c>
      <c r="F294" s="51" t="str">
        <f t="shared" si="14"/>
        <v>(0 kWh)</v>
      </c>
      <c r="G294" s="350"/>
      <c r="H294" s="316"/>
    </row>
    <row r="295" spans="1:8" ht="15" customHeight="1">
      <c r="A295" s="308" t="s">
        <v>351</v>
      </c>
      <c r="B295" s="350"/>
      <c r="C295" s="350"/>
      <c r="D295" s="58">
        <f>D291+D293</f>
        <v>0</v>
      </c>
      <c r="E295" s="57" t="s">
        <v>114</v>
      </c>
      <c r="F295" s="181" t="str">
        <f t="shared" si="14"/>
        <v>(0 kWh)</v>
      </c>
      <c r="G295" s="350"/>
      <c r="H295" s="316"/>
    </row>
    <row r="296" spans="1:8" ht="15" customHeight="1" thickBot="1">
      <c r="A296" s="341" t="s">
        <v>350</v>
      </c>
      <c r="B296" s="342"/>
      <c r="C296" s="342"/>
      <c r="D296" s="76">
        <f>D292+D294</f>
        <v>0</v>
      </c>
      <c r="E296" s="174" t="s">
        <v>114</v>
      </c>
      <c r="F296" s="182" t="str">
        <f t="shared" si="14"/>
        <v>(0 kWh)</v>
      </c>
      <c r="G296" s="342"/>
      <c r="H296" s="315"/>
    </row>
    <row r="297" spans="1:8" ht="15" customHeight="1" thickBot="1">
      <c r="A297" s="384"/>
      <c r="B297" s="385"/>
      <c r="C297" s="385"/>
      <c r="D297" s="385"/>
      <c r="E297" s="385"/>
      <c r="F297" s="385"/>
      <c r="G297" s="385"/>
      <c r="H297" s="386"/>
    </row>
    <row r="298" spans="1:8" ht="15" customHeight="1">
      <c r="A298" s="301" t="s">
        <v>165</v>
      </c>
      <c r="B298" s="417"/>
      <c r="C298" s="417"/>
      <c r="D298" s="417"/>
      <c r="E298" s="417"/>
      <c r="F298" s="417"/>
      <c r="G298" s="417"/>
      <c r="H298" s="418"/>
    </row>
    <row r="299" spans="1:8" ht="15" customHeight="1">
      <c r="A299" s="308" t="s">
        <v>366</v>
      </c>
      <c r="B299" s="350"/>
      <c r="C299" s="350"/>
      <c r="D299" s="74">
        <f>'Logement (1)'!C51</f>
        <v>0</v>
      </c>
      <c r="E299" s="52" t="s">
        <v>164</v>
      </c>
      <c r="F299" s="350"/>
      <c r="G299" s="350"/>
      <c r="H299" s="316"/>
    </row>
    <row r="300" spans="1:8" ht="15" customHeight="1" thickBot="1">
      <c r="A300" s="341" t="s">
        <v>270</v>
      </c>
      <c r="B300" s="342"/>
      <c r="C300" s="342"/>
      <c r="D300" s="75">
        <f>'Logement (1)'!$C$52</f>
        <v>0</v>
      </c>
      <c r="E300" s="63" t="s">
        <v>7</v>
      </c>
      <c r="F300" s="342"/>
      <c r="G300" s="342"/>
      <c r="H300" s="315"/>
    </row>
    <row r="301" spans="1:8" ht="15" customHeight="1" thickBot="1">
      <c r="A301" s="384"/>
      <c r="B301" s="385"/>
      <c r="C301" s="385"/>
      <c r="D301" s="385"/>
      <c r="E301" s="385"/>
      <c r="F301" s="385"/>
      <c r="G301" s="385"/>
      <c r="H301" s="386"/>
    </row>
    <row r="302" spans="1:8" ht="15" customHeight="1">
      <c r="A302" s="301" t="str">
        <f>"Valeurs pour le mois "&amp;IF(OR(C4="avril",C4="août",C4="octobre"),"d'","de ")&amp;C4</f>
        <v>Valeurs pour le mois de 0</v>
      </c>
      <c r="B302" s="417"/>
      <c r="C302" s="417"/>
      <c r="D302" s="417"/>
      <c r="E302" s="417"/>
      <c r="F302" s="417"/>
      <c r="G302" s="417"/>
      <c r="H302" s="418"/>
    </row>
    <row r="303" spans="1:8" ht="15" customHeight="1">
      <c r="A303" s="308" t="str">
        <f>"Nombre de jours du mois "&amp;IF(OR(C4="avril",C4="août",C4="octobre"),"d'","de ")&amp;IF($C$4&lt;&gt;0,$C$4,"")&amp;" :"</f>
        <v>Nombre de jours du mois de  :</v>
      </c>
      <c r="B303" s="350"/>
      <c r="C303" s="350"/>
      <c r="D303" s="52">
        <f>'Logement (1)'!$C$53</f>
        <v>31</v>
      </c>
      <c r="E303" s="74" t="s">
        <v>164</v>
      </c>
      <c r="F303" s="350"/>
      <c r="G303" s="369"/>
      <c r="H303" s="427"/>
    </row>
    <row r="304" spans="1:8" ht="15" customHeight="1">
      <c r="A304" s="308" t="str">
        <f>"Nombre de jours de chauffage hors vacances pour le mois "&amp;IF(OR($C$4="avril",$C$4="août",$C$4="octobre"),"d'","de ")&amp;IF($C$4&lt;&gt;0,$C$4,"")&amp;" :"</f>
        <v>Nombre de jours de chauffage hors vacances pour le mois de  :</v>
      </c>
      <c r="B304" s="350"/>
      <c r="C304" s="350"/>
      <c r="D304" s="52">
        <f>'Logement (1)'!C56</f>
        <v>31</v>
      </c>
      <c r="E304" s="52" t="s">
        <v>164</v>
      </c>
      <c r="F304" s="369"/>
      <c r="G304" s="369"/>
      <c r="H304" s="427"/>
    </row>
    <row r="305" spans="1:8" ht="15" customHeight="1">
      <c r="A305" s="430"/>
      <c r="B305" s="369"/>
      <c r="C305" s="369"/>
      <c r="D305" s="369"/>
      <c r="E305" s="369"/>
      <c r="F305" s="369"/>
      <c r="G305" s="369"/>
      <c r="H305" s="427"/>
    </row>
    <row r="306" spans="1:8" ht="15" customHeight="1">
      <c r="A306" s="308" t="str">
        <f>"Pertes thermiques en période de chauffage et hors vacances pour le mois "&amp;IF(OR(C4="avril",C4="août",C4="octobre"),"d'","de ")&amp;IF($C$4&lt;&gt;0,$C$4,"")&amp;" :"</f>
        <v>Pertes thermiques en période de chauffage et hors vacances pour le mois de  :</v>
      </c>
      <c r="B306" s="350"/>
      <c r="C306" s="350"/>
      <c r="D306" s="61">
        <f>D295*(D304/7)</f>
        <v>0</v>
      </c>
      <c r="E306" s="60" t="s">
        <v>114</v>
      </c>
      <c r="F306" s="184" t="str">
        <f>"("&amp;ROUND(D306/1000,3)&amp;" kWh)"</f>
        <v>(0 kWh)</v>
      </c>
      <c r="G306" s="369"/>
      <c r="H306" s="427"/>
    </row>
    <row r="307" spans="1:8" ht="15" customHeight="1" thickBot="1">
      <c r="A307" s="341" t="str">
        <f>"Pertes thermiques récupérables pour le mois "&amp;IF(OR(C4="avril",C4="août",C4="octobre"),"d'","de ")&amp;IF($C$4&lt;&gt;0,$C$4,"")&amp;" :"</f>
        <v>Pertes thermiques récupérables pour le mois de  :</v>
      </c>
      <c r="B307" s="342"/>
      <c r="C307" s="342"/>
      <c r="D307" s="65">
        <f>D296*(D304/7)</f>
        <v>0</v>
      </c>
      <c r="E307" s="64" t="s">
        <v>114</v>
      </c>
      <c r="F307" s="185" t="str">
        <f>"("&amp;ROUND(D307/1000,3)&amp;" kWh)"</f>
        <v>(0 kWh)</v>
      </c>
      <c r="G307" s="428"/>
      <c r="H307" s="429"/>
    </row>
    <row r="324" spans="1:11" ht="13.5" hidden="1" thickBot="1">
      <c r="A324" s="402" t="s">
        <v>259</v>
      </c>
      <c r="B324" s="403"/>
      <c r="C324" s="403"/>
      <c r="D324" s="403"/>
      <c r="E324" s="403"/>
      <c r="F324" s="403"/>
      <c r="G324" s="403"/>
      <c r="H324" s="403"/>
      <c r="I324" s="403"/>
      <c r="J324" s="403"/>
      <c r="K324" s="404"/>
    </row>
    <row r="325" spans="1:11" ht="12.75" hidden="1">
      <c r="A325" s="395" t="s">
        <v>171</v>
      </c>
      <c r="B325" s="396"/>
      <c r="C325" s="186" t="str">
        <f>'Durée saison CH (5)'!D8</f>
        <v>septembre</v>
      </c>
      <c r="D325" s="186"/>
      <c r="E325" s="187" t="s">
        <v>4</v>
      </c>
      <c r="F325" s="405"/>
      <c r="G325" s="406"/>
      <c r="H325" s="188" t="s">
        <v>172</v>
      </c>
      <c r="I325" s="152"/>
      <c r="J325" s="152" t="str">
        <f>'Durée saison CH (5)'!D19</f>
        <v>mai</v>
      </c>
      <c r="K325" s="189"/>
    </row>
    <row r="326" spans="1:11" ht="12.75" hidden="1">
      <c r="A326" s="351" t="s">
        <v>253</v>
      </c>
      <c r="B326" s="397"/>
      <c r="C326" s="190">
        <f>IF(AND($C$3&lt;&gt;0,$C$10&lt;&gt;0,C325&lt;&gt;0),$C$6-$C$10*($C$6-INDEX(T!B32:M90,MATCH($C$3,T!A32:A90,0),MATCH(C325,T!B31:M31,0))),0)</f>
        <v>0</v>
      </c>
      <c r="D326" s="190"/>
      <c r="E326" s="4" t="s">
        <v>7</v>
      </c>
      <c r="F326" s="407"/>
      <c r="G326" s="408"/>
      <c r="H326" s="127" t="s">
        <v>253</v>
      </c>
      <c r="I326" s="127"/>
      <c r="J326" s="191">
        <f>IF(AND($C$3&lt;&gt;0,$C$10&lt;&gt;0,J325&lt;&gt;0),$C$6-$C$10*($C$6-INDEX(T!B32:M90,MATCH($C$3,T!A32:A90,0),MATCH(J325,T!B31:M31,0))),0)</f>
        <v>0</v>
      </c>
      <c r="K326" s="183" t="s">
        <v>7</v>
      </c>
    </row>
    <row r="327" spans="1:11" ht="12.75" hidden="1">
      <c r="A327" s="399" t="s">
        <v>254</v>
      </c>
      <c r="B327" s="400"/>
      <c r="C327" s="400"/>
      <c r="D327" s="400"/>
      <c r="E327" s="397"/>
      <c r="F327" s="407"/>
      <c r="G327" s="408"/>
      <c r="H327" s="130" t="s">
        <v>254</v>
      </c>
      <c r="I327" s="127"/>
      <c r="J327" s="127"/>
      <c r="K327" s="183"/>
    </row>
    <row r="328" spans="1:11" ht="12.75" hidden="1">
      <c r="A328" s="398" t="s">
        <v>129</v>
      </c>
      <c r="B328" s="397"/>
      <c r="C328" s="16">
        <f>C330/24</f>
        <v>0</v>
      </c>
      <c r="D328" s="16"/>
      <c r="E328" s="3" t="s">
        <v>114</v>
      </c>
      <c r="F328" s="407"/>
      <c r="G328" s="408"/>
      <c r="H328" s="128" t="s">
        <v>129</v>
      </c>
      <c r="I328" s="128"/>
      <c r="J328" s="192">
        <f>J330/24</f>
        <v>0</v>
      </c>
      <c r="K328" s="193" t="s">
        <v>114</v>
      </c>
    </row>
    <row r="329" spans="1:11" ht="12.75" hidden="1">
      <c r="A329" s="398" t="s">
        <v>130</v>
      </c>
      <c r="B329" s="397"/>
      <c r="C329" s="16">
        <f>C331/24</f>
        <v>0</v>
      </c>
      <c r="D329" s="16"/>
      <c r="E329" s="3" t="s">
        <v>114</v>
      </c>
      <c r="F329" s="407"/>
      <c r="G329" s="408"/>
      <c r="H329" s="128" t="s">
        <v>130</v>
      </c>
      <c r="I329" s="128"/>
      <c r="J329" s="192">
        <f>J331/24</f>
        <v>0</v>
      </c>
      <c r="K329" s="193" t="s">
        <v>114</v>
      </c>
    </row>
    <row r="330" spans="1:11" ht="12.75" hidden="1">
      <c r="A330" s="398" t="s">
        <v>117</v>
      </c>
      <c r="B330" s="397"/>
      <c r="C330" s="16">
        <f>1.2628*$C$20*($C$9-$C$6)*$C$15*'Logement (1)'!$D$7</f>
        <v>0</v>
      </c>
      <c r="D330" s="16"/>
      <c r="E330" s="3" t="s">
        <v>122</v>
      </c>
      <c r="F330" s="407"/>
      <c r="G330" s="408"/>
      <c r="H330" s="128" t="s">
        <v>117</v>
      </c>
      <c r="I330" s="128"/>
      <c r="J330" s="192">
        <f>1.2628*$C$20*($C$9-$C$6)*$C$15*'Logement (1)'!$D$7</f>
        <v>0</v>
      </c>
      <c r="K330" s="193" t="s">
        <v>122</v>
      </c>
    </row>
    <row r="331" spans="1:11" ht="12.75" hidden="1">
      <c r="A331" s="398" t="s">
        <v>118</v>
      </c>
      <c r="B331" s="397"/>
      <c r="C331" s="16">
        <f>1.2628*$C$21*($C$9-C326)*$C$15*'Logement (1)'!$D$7</f>
        <v>0</v>
      </c>
      <c r="D331" s="16"/>
      <c r="E331" s="3" t="s">
        <v>122</v>
      </c>
      <c r="F331" s="407"/>
      <c r="G331" s="408"/>
      <c r="H331" s="128" t="s">
        <v>118</v>
      </c>
      <c r="I331" s="128"/>
      <c r="J331" s="192">
        <f>1.2628*$C$21*($C$9-J326)*$C$15*'Logement (1)'!$D$7</f>
        <v>0</v>
      </c>
      <c r="K331" s="193" t="s">
        <v>122</v>
      </c>
    </row>
    <row r="332" spans="1:11" ht="12.75" hidden="1">
      <c r="A332" s="401" t="s">
        <v>255</v>
      </c>
      <c r="B332" s="400"/>
      <c r="C332" s="400"/>
      <c r="D332" s="400"/>
      <c r="E332" s="397"/>
      <c r="F332" s="407"/>
      <c r="G332" s="408"/>
      <c r="H332" s="194" t="s">
        <v>255</v>
      </c>
      <c r="I332" s="194"/>
      <c r="J332" s="194"/>
      <c r="K332" s="195"/>
    </row>
    <row r="333" spans="1:11" ht="12.75" hidden="1">
      <c r="A333" s="398" t="s">
        <v>119</v>
      </c>
      <c r="B333" s="397"/>
      <c r="C333" s="16">
        <f>IF(AND($B$24="Oui",$C$26&lt;&gt;"",$C$26&lt;&gt;0,$C$28&lt;&gt;"",$C$28&lt;&gt;0),$C$28*(PI()/(1/(2*100)*LN(($C$26+0.002)/$C$26)+1/($C$32*($C$26+0.002))))*($C$9-$C$6),0)</f>
        <v>0</v>
      </c>
      <c r="D333" s="16"/>
      <c r="E333" s="3" t="s">
        <v>114</v>
      </c>
      <c r="F333" s="407"/>
      <c r="G333" s="408"/>
      <c r="H333" s="128" t="s">
        <v>119</v>
      </c>
      <c r="I333" s="128"/>
      <c r="J333" s="192">
        <f>IF(AND($B$24="Oui",$C$26&lt;&gt;"",$C$26&lt;&gt;0,$C$28&lt;&gt;"",$C$28&lt;&gt;0),$C$28*(PI()/(1/(2*100)*LN(($C$26+0.002)/$C$26)+1/($C$32*($C$26+0.002))))*($C$9-$C$6),0)</f>
        <v>0</v>
      </c>
      <c r="K333" s="193" t="s">
        <v>114</v>
      </c>
    </row>
    <row r="334" spans="1:11" ht="12.75" hidden="1">
      <c r="A334" s="398" t="s">
        <v>120</v>
      </c>
      <c r="B334" s="397"/>
      <c r="C334" s="16">
        <f>IF(AND($B$24="Oui",$C$27&lt;&gt;"",$C$27&lt;&gt;0,$C$29&lt;&gt;"",$C$29&lt;&gt;0),$C$29*(PI()/(1/(2*100)*LN(($C$27+0.002)/$C$27)+1/($C$33*($C$27+0.002))))*($C$9-C326),0)</f>
        <v>0</v>
      </c>
      <c r="D334" s="16"/>
      <c r="E334" s="3" t="s">
        <v>114</v>
      </c>
      <c r="F334" s="407"/>
      <c r="G334" s="408"/>
      <c r="H334" s="128" t="s">
        <v>120</v>
      </c>
      <c r="I334" s="128"/>
      <c r="J334" s="192">
        <f>IF(AND($B$24="Oui",C27&lt;&gt;"",C27&lt;&gt;0,C29&lt;&gt;"",C29&lt;&gt;0),$C$29*(PI()/(1/(2*100)*LN(($C$27+0.002)/$C$27)+1/($C$33*($C$27+0.002))))*($C$9-J326),0)</f>
        <v>0</v>
      </c>
      <c r="K334" s="193" t="s">
        <v>114</v>
      </c>
    </row>
    <row r="335" spans="1:11" ht="12.75" hidden="1">
      <c r="A335" s="398" t="s">
        <v>117</v>
      </c>
      <c r="B335" s="397"/>
      <c r="C335" s="16">
        <f>C333*$C$5</f>
        <v>0</v>
      </c>
      <c r="D335" s="16"/>
      <c r="E335" s="3" t="s">
        <v>122</v>
      </c>
      <c r="F335" s="407"/>
      <c r="G335" s="408"/>
      <c r="H335" s="128" t="s">
        <v>117</v>
      </c>
      <c r="I335" s="128"/>
      <c r="J335" s="192">
        <f>J333*$C$5</f>
        <v>0</v>
      </c>
      <c r="K335" s="193" t="s">
        <v>122</v>
      </c>
    </row>
    <row r="336" spans="1:11" ht="12.75" hidden="1">
      <c r="A336" s="398" t="s">
        <v>118</v>
      </c>
      <c r="B336" s="397"/>
      <c r="C336" s="16">
        <f>C334*$C$5</f>
        <v>0</v>
      </c>
      <c r="D336" s="16"/>
      <c r="E336" s="3" t="s">
        <v>122</v>
      </c>
      <c r="F336" s="407"/>
      <c r="G336" s="408"/>
      <c r="H336" s="128" t="s">
        <v>118</v>
      </c>
      <c r="I336" s="128"/>
      <c r="J336" s="192">
        <f>J334*$C$5</f>
        <v>0</v>
      </c>
      <c r="K336" s="193" t="s">
        <v>122</v>
      </c>
    </row>
    <row r="337" spans="1:11" ht="12.75" hidden="1">
      <c r="A337" s="401" t="s">
        <v>256</v>
      </c>
      <c r="B337" s="400"/>
      <c r="C337" s="400"/>
      <c r="D337" s="400"/>
      <c r="E337" s="397"/>
      <c r="F337" s="407"/>
      <c r="G337" s="408"/>
      <c r="H337" s="194" t="s">
        <v>256</v>
      </c>
      <c r="I337" s="194"/>
      <c r="J337" s="194"/>
      <c r="K337" s="195"/>
    </row>
    <row r="338" spans="1:11" ht="12.75" hidden="1">
      <c r="A338" s="398" t="s">
        <v>111</v>
      </c>
      <c r="B338" s="397"/>
      <c r="C338" s="16" t="e">
        <f>($C$43*$C$45*(1+(0.05/$C$44)))*($C$9-$C$6)</f>
        <v>#DIV/0!</v>
      </c>
      <c r="D338" s="16"/>
      <c r="E338" s="3" t="s">
        <v>12</v>
      </c>
      <c r="F338" s="407"/>
      <c r="G338" s="408"/>
      <c r="H338" s="128" t="s">
        <v>111</v>
      </c>
      <c r="I338" s="128"/>
      <c r="J338" s="192" t="e">
        <f>($C$43*$C$45*(1+(0.05/$C$44)))*($C$9-$C$6)</f>
        <v>#DIV/0!</v>
      </c>
      <c r="K338" s="193" t="s">
        <v>12</v>
      </c>
    </row>
    <row r="339" spans="1:11" ht="12.75" hidden="1">
      <c r="A339" s="398" t="s">
        <v>112</v>
      </c>
      <c r="B339" s="397"/>
      <c r="C339" s="16">
        <f>((($C$39-(2*$C$41))/2)^2*PI()*($C$40-(2*$C$41)))*1000</f>
        <v>0</v>
      </c>
      <c r="D339" s="16"/>
      <c r="E339" s="3" t="s">
        <v>77</v>
      </c>
      <c r="F339" s="407"/>
      <c r="G339" s="408"/>
      <c r="H339" s="128" t="s">
        <v>112</v>
      </c>
      <c r="I339" s="128"/>
      <c r="J339" s="192">
        <f>((($C$39-(2*$C$41))/2)^2*PI()*($C$40-(2*$C$41)))*1000</f>
        <v>0</v>
      </c>
      <c r="K339" s="193" t="s">
        <v>77</v>
      </c>
    </row>
    <row r="340" spans="1:11" ht="12.75" hidden="1">
      <c r="A340" s="398" t="s">
        <v>248</v>
      </c>
      <c r="B340" s="397"/>
      <c r="C340" s="16">
        <f>IF($B$38="Oui",$C$47*$C$48*($C$9-$C$6),$C$47*$C$48*($C$9-C326))</f>
        <v>0</v>
      </c>
      <c r="D340" s="16"/>
      <c r="E340" s="3" t="s">
        <v>114</v>
      </c>
      <c r="F340" s="407"/>
      <c r="G340" s="408"/>
      <c r="H340" s="128" t="s">
        <v>248</v>
      </c>
      <c r="I340" s="128"/>
      <c r="J340" s="192">
        <f>IF($B$38="Oui",$C$47*$C$48*($C$9-$C$6),$C$47*$C$48*($C$9-J326))</f>
        <v>0</v>
      </c>
      <c r="K340" s="193" t="s">
        <v>114</v>
      </c>
    </row>
    <row r="341" spans="1:11" ht="12.75" hidden="1">
      <c r="A341" s="398" t="s">
        <v>249</v>
      </c>
      <c r="B341" s="397"/>
      <c r="C341" s="16">
        <f>C340*24</f>
        <v>0</v>
      </c>
      <c r="D341" s="16"/>
      <c r="E341" s="3" t="s">
        <v>122</v>
      </c>
      <c r="F341" s="407"/>
      <c r="G341" s="408"/>
      <c r="H341" s="128" t="s">
        <v>249</v>
      </c>
      <c r="I341" s="128"/>
      <c r="J341" s="192">
        <f>J340*24</f>
        <v>0</v>
      </c>
      <c r="K341" s="193" t="s">
        <v>122</v>
      </c>
    </row>
    <row r="342" spans="1:11" ht="12.75" hidden="1">
      <c r="A342" s="401" t="s">
        <v>257</v>
      </c>
      <c r="B342" s="400"/>
      <c r="C342" s="400"/>
      <c r="D342" s="400"/>
      <c r="E342" s="397"/>
      <c r="F342" s="407"/>
      <c r="G342" s="408"/>
      <c r="H342" s="194" t="s">
        <v>257</v>
      </c>
      <c r="I342" s="194"/>
      <c r="J342" s="194"/>
      <c r="K342" s="195"/>
    </row>
    <row r="343" spans="1:11" ht="12.75" hidden="1">
      <c r="A343" s="398" t="s">
        <v>116</v>
      </c>
      <c r="B343" s="397"/>
      <c r="C343" s="16">
        <f>C328+C329+C333+C334+C340</f>
        <v>0</v>
      </c>
      <c r="D343" s="16"/>
      <c r="E343" s="3" t="s">
        <v>114</v>
      </c>
      <c r="F343" s="407"/>
      <c r="G343" s="408"/>
      <c r="H343" s="128" t="s">
        <v>116</v>
      </c>
      <c r="I343" s="128"/>
      <c r="J343" s="192">
        <f>J328+J329+J333+J334+J340</f>
        <v>0</v>
      </c>
      <c r="K343" s="193" t="s">
        <v>114</v>
      </c>
    </row>
    <row r="344" spans="1:11" ht="12.75" hidden="1">
      <c r="A344" s="398" t="s">
        <v>121</v>
      </c>
      <c r="B344" s="397"/>
      <c r="C344" s="16">
        <f>C330+C331+C335+C336+C341</f>
        <v>0</v>
      </c>
      <c r="D344" s="16"/>
      <c r="E344" s="3" t="s">
        <v>122</v>
      </c>
      <c r="F344" s="407"/>
      <c r="G344" s="408"/>
      <c r="H344" s="128" t="s">
        <v>121</v>
      </c>
      <c r="I344" s="128"/>
      <c r="J344" s="192">
        <f>J330+J331+J335+J336+J341</f>
        <v>0</v>
      </c>
      <c r="K344" s="193" t="s">
        <v>122</v>
      </c>
    </row>
    <row r="345" spans="1:11" ht="12.75" hidden="1">
      <c r="A345" s="398"/>
      <c r="B345" s="400"/>
      <c r="C345" s="400"/>
      <c r="D345" s="400"/>
      <c r="E345" s="397"/>
      <c r="F345" s="407"/>
      <c r="G345" s="408"/>
      <c r="H345" s="128"/>
      <c r="I345" s="127"/>
      <c r="J345" s="127"/>
      <c r="K345" s="183"/>
    </row>
    <row r="346" spans="1:11" ht="12.75" hidden="1">
      <c r="A346" s="401" t="s">
        <v>258</v>
      </c>
      <c r="B346" s="400"/>
      <c r="C346" s="400"/>
      <c r="D346" s="400"/>
      <c r="E346" s="397"/>
      <c r="F346" s="407"/>
      <c r="G346" s="408"/>
      <c r="H346" s="194" t="s">
        <v>258</v>
      </c>
      <c r="I346" s="194"/>
      <c r="J346" s="194"/>
      <c r="K346" s="195"/>
    </row>
    <row r="347" spans="1:11" ht="12.75" hidden="1">
      <c r="A347" s="399" t="s">
        <v>127</v>
      </c>
      <c r="B347" s="400"/>
      <c r="C347" s="400"/>
      <c r="D347" s="400"/>
      <c r="E347" s="397"/>
      <c r="F347" s="407"/>
      <c r="G347" s="408"/>
      <c r="H347" s="130" t="s">
        <v>127</v>
      </c>
      <c r="I347" s="127"/>
      <c r="J347" s="127"/>
      <c r="K347" s="183"/>
    </row>
    <row r="348" spans="1:11" ht="12.75" hidden="1">
      <c r="A348" s="398" t="s">
        <v>123</v>
      </c>
      <c r="B348" s="397"/>
      <c r="C348" s="16">
        <f>C328+C333</f>
        <v>0</v>
      </c>
      <c r="D348" s="16"/>
      <c r="E348" s="3" t="s">
        <v>114</v>
      </c>
      <c r="F348" s="407"/>
      <c r="G348" s="408"/>
      <c r="H348" s="128" t="s">
        <v>123</v>
      </c>
      <c r="I348" s="128"/>
      <c r="J348" s="192">
        <f>J328+J333</f>
        <v>0</v>
      </c>
      <c r="K348" s="193" t="s">
        <v>114</v>
      </c>
    </row>
    <row r="349" spans="1:11" ht="12.75" hidden="1">
      <c r="A349" s="398" t="s">
        <v>124</v>
      </c>
      <c r="B349" s="397"/>
      <c r="C349" s="16">
        <f>(C329+C334)*(1-$C$10)</f>
        <v>0</v>
      </c>
      <c r="D349" s="16"/>
      <c r="E349" s="3" t="s">
        <v>114</v>
      </c>
      <c r="F349" s="407"/>
      <c r="G349" s="408"/>
      <c r="H349" s="128" t="s">
        <v>124</v>
      </c>
      <c r="I349" s="128"/>
      <c r="J349" s="192">
        <f>(J329+J334)*(1-$C$10)</f>
        <v>0</v>
      </c>
      <c r="K349" s="193" t="s">
        <v>114</v>
      </c>
    </row>
    <row r="350" spans="1:11" ht="12.75" hidden="1">
      <c r="A350" s="398" t="s">
        <v>125</v>
      </c>
      <c r="B350" s="397"/>
      <c r="C350" s="16">
        <f>C330+C335</f>
        <v>0</v>
      </c>
      <c r="D350" s="16"/>
      <c r="E350" s="3" t="s">
        <v>122</v>
      </c>
      <c r="F350" s="407"/>
      <c r="G350" s="408"/>
      <c r="H350" s="128" t="s">
        <v>125</v>
      </c>
      <c r="I350" s="128"/>
      <c r="J350" s="192">
        <f>J330+J335</f>
        <v>0</v>
      </c>
      <c r="K350" s="193" t="s">
        <v>122</v>
      </c>
    </row>
    <row r="351" spans="1:11" ht="12.75" hidden="1">
      <c r="A351" s="398" t="s">
        <v>126</v>
      </c>
      <c r="B351" s="397"/>
      <c r="C351" s="16">
        <f>(C331+C336)*(1-$C$10)</f>
        <v>0</v>
      </c>
      <c r="D351" s="16"/>
      <c r="E351" s="3" t="s">
        <v>122</v>
      </c>
      <c r="F351" s="407"/>
      <c r="G351" s="408"/>
      <c r="H351" s="128" t="s">
        <v>126</v>
      </c>
      <c r="I351" s="128"/>
      <c r="J351" s="192">
        <f>(J331+J336)*(1-$C$10)</f>
        <v>0</v>
      </c>
      <c r="K351" s="193" t="s">
        <v>122</v>
      </c>
    </row>
    <row r="352" spans="1:11" ht="12.75" hidden="1">
      <c r="A352" s="401" t="s">
        <v>128</v>
      </c>
      <c r="B352" s="400"/>
      <c r="C352" s="400"/>
      <c r="D352" s="400"/>
      <c r="E352" s="397"/>
      <c r="F352" s="407"/>
      <c r="G352" s="408"/>
      <c r="H352" s="194" t="s">
        <v>128</v>
      </c>
      <c r="I352" s="127"/>
      <c r="J352" s="127"/>
      <c r="K352" s="183"/>
    </row>
    <row r="353" spans="1:11" ht="12.75" hidden="1">
      <c r="A353" s="398" t="s">
        <v>250</v>
      </c>
      <c r="B353" s="397"/>
      <c r="C353" s="16">
        <f>IF($B$38="Oui",C340,C340*(1-$C$10))</f>
        <v>0</v>
      </c>
      <c r="D353" s="16"/>
      <c r="E353" s="3" t="s">
        <v>114</v>
      </c>
      <c r="F353" s="407"/>
      <c r="G353" s="408"/>
      <c r="H353" s="128" t="s">
        <v>250</v>
      </c>
      <c r="I353" s="128"/>
      <c r="J353" s="192">
        <f>IF($B$38="Oui",J340,J340*(1-$C$10))</f>
        <v>0</v>
      </c>
      <c r="K353" s="193" t="s">
        <v>114</v>
      </c>
    </row>
    <row r="354" spans="1:11" ht="12.75" hidden="1">
      <c r="A354" s="398" t="s">
        <v>251</v>
      </c>
      <c r="B354" s="397"/>
      <c r="C354" s="16">
        <f>C353*24</f>
        <v>0</v>
      </c>
      <c r="D354" s="16"/>
      <c r="E354" s="3" t="s">
        <v>122</v>
      </c>
      <c r="F354" s="407"/>
      <c r="G354" s="408"/>
      <c r="H354" s="128" t="s">
        <v>251</v>
      </c>
      <c r="I354" s="128"/>
      <c r="J354" s="192">
        <f>J353*24</f>
        <v>0</v>
      </c>
      <c r="K354" s="193" t="s">
        <v>122</v>
      </c>
    </row>
    <row r="355" spans="1:11" ht="12.75" hidden="1">
      <c r="A355" s="398"/>
      <c r="B355" s="400"/>
      <c r="C355" s="400"/>
      <c r="D355" s="400"/>
      <c r="E355" s="397"/>
      <c r="F355" s="407"/>
      <c r="G355" s="408"/>
      <c r="H355" s="128"/>
      <c r="I355" s="128"/>
      <c r="J355" s="128"/>
      <c r="K355" s="193"/>
    </row>
    <row r="356" spans="1:11" ht="12.75" hidden="1">
      <c r="A356" s="398" t="s">
        <v>137</v>
      </c>
      <c r="B356" s="397"/>
      <c r="C356" s="16">
        <f>C348+C349+C353+IF($B$25="Situé en local chauffé",($C$25*0.7),(($C$25*0.7)*(1-$C$10)))</f>
        <v>0</v>
      </c>
      <c r="D356" s="16"/>
      <c r="E356" s="3" t="s">
        <v>114</v>
      </c>
      <c r="F356" s="407"/>
      <c r="G356" s="408"/>
      <c r="H356" s="128" t="s">
        <v>137</v>
      </c>
      <c r="I356" s="128"/>
      <c r="J356" s="192">
        <f>J348+J349+J353+IF($B$25="Situé en local chauffé",($C$25*0.7),(($C$25*0.7)*(1-$C$10)))</f>
        <v>0</v>
      </c>
      <c r="K356" s="193" t="s">
        <v>114</v>
      </c>
    </row>
    <row r="357" spans="1:11" ht="13.5" hidden="1" thickBot="1">
      <c r="A357" s="411" t="s">
        <v>138</v>
      </c>
      <c r="B357" s="412"/>
      <c r="C357" s="196">
        <f>C350+C351+C354+(IF($B$25="Situé en local chauffé",($C$25*0.7),(($C$25*0.7)*(1-$C$10)))*$C$5)</f>
        <v>0</v>
      </c>
      <c r="D357" s="196"/>
      <c r="E357" s="197" t="s">
        <v>122</v>
      </c>
      <c r="F357" s="409"/>
      <c r="G357" s="410"/>
      <c r="H357" s="198" t="s">
        <v>138</v>
      </c>
      <c r="I357" s="198"/>
      <c r="J357" s="199">
        <f>J350+J351+J354+(IF($B$25="Situé en local chauffé",($C$25*0.7),(($C$25*0.7)*(1-$C$10)))*$C$5)</f>
        <v>0</v>
      </c>
      <c r="K357" s="200" t="s">
        <v>122</v>
      </c>
    </row>
  </sheetData>
  <sheetProtection sheet="1" objects="1" scenarios="1" selectLockedCells="1"/>
  <mergeCells count="392">
    <mergeCell ref="A304:C304"/>
    <mergeCell ref="G303:H307"/>
    <mergeCell ref="F303:F304"/>
    <mergeCell ref="A305:F305"/>
    <mergeCell ref="A306:C306"/>
    <mergeCell ref="A307:C307"/>
    <mergeCell ref="D167:H167"/>
    <mergeCell ref="D168:E168"/>
    <mergeCell ref="D285:H285"/>
    <mergeCell ref="D286:E286"/>
    <mergeCell ref="D280:E280"/>
    <mergeCell ref="D281:H281"/>
    <mergeCell ref="D273:E273"/>
    <mergeCell ref="D274:E274"/>
    <mergeCell ref="D275:E275"/>
    <mergeCell ref="D276:E276"/>
    <mergeCell ref="D66:E66"/>
    <mergeCell ref="D99:H99"/>
    <mergeCell ref="D100:E100"/>
    <mergeCell ref="D133:H133"/>
    <mergeCell ref="H85:H87"/>
    <mergeCell ref="D92:H92"/>
    <mergeCell ref="D93:E93"/>
    <mergeCell ref="D94:E94"/>
    <mergeCell ref="D95:E95"/>
    <mergeCell ref="D96:E96"/>
    <mergeCell ref="D65:H65"/>
    <mergeCell ref="D201:H201"/>
    <mergeCell ref="D202:E202"/>
    <mergeCell ref="D235:H235"/>
    <mergeCell ref="D231:E231"/>
    <mergeCell ref="D232:E232"/>
    <mergeCell ref="D233:E233"/>
    <mergeCell ref="D234:E234"/>
    <mergeCell ref="H221:H223"/>
    <mergeCell ref="D222:E222"/>
    <mergeCell ref="D236:E236"/>
    <mergeCell ref="D269:H269"/>
    <mergeCell ref="D270:E270"/>
    <mergeCell ref="A296:C296"/>
    <mergeCell ref="B287:E287"/>
    <mergeCell ref="B288:E288"/>
    <mergeCell ref="D277:E277"/>
    <mergeCell ref="C278:C286"/>
    <mergeCell ref="D278:E278"/>
    <mergeCell ref="D282:E282"/>
    <mergeCell ref="A301:H301"/>
    <mergeCell ref="A303:C303"/>
    <mergeCell ref="A299:C299"/>
    <mergeCell ref="A300:C300"/>
    <mergeCell ref="A302:H302"/>
    <mergeCell ref="F299:H300"/>
    <mergeCell ref="D271:H271"/>
    <mergeCell ref="D272:E272"/>
    <mergeCell ref="D283:H283"/>
    <mergeCell ref="D284:E284"/>
    <mergeCell ref="H278:H280"/>
    <mergeCell ref="D279:E279"/>
    <mergeCell ref="D265:E265"/>
    <mergeCell ref="D266:E266"/>
    <mergeCell ref="D267:E267"/>
    <mergeCell ref="D268:E268"/>
    <mergeCell ref="D257:E257"/>
    <mergeCell ref="D258:H258"/>
    <mergeCell ref="D263:E263"/>
    <mergeCell ref="D264:E264"/>
    <mergeCell ref="A255:A288"/>
    <mergeCell ref="B255:B286"/>
    <mergeCell ref="C255:C277"/>
    <mergeCell ref="D255:E255"/>
    <mergeCell ref="D259:E259"/>
    <mergeCell ref="D260:E260"/>
    <mergeCell ref="D261:E261"/>
    <mergeCell ref="D262:H262"/>
    <mergeCell ref="H255:H257"/>
    <mergeCell ref="D256:E256"/>
    <mergeCell ref="D246:E246"/>
    <mergeCell ref="D247:H247"/>
    <mergeCell ref="B253:E253"/>
    <mergeCell ref="B254:E254"/>
    <mergeCell ref="D243:E243"/>
    <mergeCell ref="C244:C252"/>
    <mergeCell ref="D244:E244"/>
    <mergeCell ref="D248:E248"/>
    <mergeCell ref="D249:H249"/>
    <mergeCell ref="D250:E250"/>
    <mergeCell ref="D251:H251"/>
    <mergeCell ref="D252:E252"/>
    <mergeCell ref="H244:H246"/>
    <mergeCell ref="D245:E245"/>
    <mergeCell ref="D239:E239"/>
    <mergeCell ref="D240:E240"/>
    <mergeCell ref="D241:E241"/>
    <mergeCell ref="D242:E242"/>
    <mergeCell ref="A221:A254"/>
    <mergeCell ref="B221:B252"/>
    <mergeCell ref="C221:C243"/>
    <mergeCell ref="D221:E221"/>
    <mergeCell ref="D225:E225"/>
    <mergeCell ref="D226:E226"/>
    <mergeCell ref="D227:E227"/>
    <mergeCell ref="D228:H228"/>
    <mergeCell ref="D237:H237"/>
    <mergeCell ref="D238:E238"/>
    <mergeCell ref="D229:E229"/>
    <mergeCell ref="D230:E230"/>
    <mergeCell ref="D217:H217"/>
    <mergeCell ref="D218:E218"/>
    <mergeCell ref="B219:E219"/>
    <mergeCell ref="B220:E220"/>
    <mergeCell ref="D223:E223"/>
    <mergeCell ref="D224:H224"/>
    <mergeCell ref="D209:E209"/>
    <mergeCell ref="C210:C218"/>
    <mergeCell ref="D210:E210"/>
    <mergeCell ref="H210:H212"/>
    <mergeCell ref="D211:E211"/>
    <mergeCell ref="D212:E212"/>
    <mergeCell ref="D213:H213"/>
    <mergeCell ref="D214:E214"/>
    <mergeCell ref="D215:H215"/>
    <mergeCell ref="D216:E216"/>
    <mergeCell ref="D205:E205"/>
    <mergeCell ref="D206:E206"/>
    <mergeCell ref="D207:E207"/>
    <mergeCell ref="D208:E208"/>
    <mergeCell ref="D199:E199"/>
    <mergeCell ref="D200:E200"/>
    <mergeCell ref="D203:H203"/>
    <mergeCell ref="D204:E204"/>
    <mergeCell ref="D195:E195"/>
    <mergeCell ref="D196:E196"/>
    <mergeCell ref="D197:E197"/>
    <mergeCell ref="D198:E198"/>
    <mergeCell ref="H187:H189"/>
    <mergeCell ref="D188:E188"/>
    <mergeCell ref="D189:E189"/>
    <mergeCell ref="D190:H190"/>
    <mergeCell ref="B185:E185"/>
    <mergeCell ref="B186:E186"/>
    <mergeCell ref="A187:A220"/>
    <mergeCell ref="B187:B218"/>
    <mergeCell ref="C187:C209"/>
    <mergeCell ref="D187:E187"/>
    <mergeCell ref="D191:E191"/>
    <mergeCell ref="D192:E192"/>
    <mergeCell ref="D193:E193"/>
    <mergeCell ref="D194:H194"/>
    <mergeCell ref="H176:H178"/>
    <mergeCell ref="D177:E177"/>
    <mergeCell ref="D178:E178"/>
    <mergeCell ref="D179:H179"/>
    <mergeCell ref="D173:E173"/>
    <mergeCell ref="D174:E174"/>
    <mergeCell ref="D175:E175"/>
    <mergeCell ref="C176:C184"/>
    <mergeCell ref="D176:E176"/>
    <mergeCell ref="D180:E180"/>
    <mergeCell ref="D181:H181"/>
    <mergeCell ref="D182:E182"/>
    <mergeCell ref="D183:H183"/>
    <mergeCell ref="D184:E184"/>
    <mergeCell ref="D169:H169"/>
    <mergeCell ref="D170:E170"/>
    <mergeCell ref="D171:E171"/>
    <mergeCell ref="D172:E172"/>
    <mergeCell ref="A1:H1"/>
    <mergeCell ref="A2:H2"/>
    <mergeCell ref="D55:E55"/>
    <mergeCell ref="D56:E56"/>
    <mergeCell ref="A8:H8"/>
    <mergeCell ref="E9:H11"/>
    <mergeCell ref="A12:H12"/>
    <mergeCell ref="A13:H13"/>
    <mergeCell ref="D51:E51"/>
    <mergeCell ref="D52:E52"/>
    <mergeCell ref="A85:A118"/>
    <mergeCell ref="B85:B116"/>
    <mergeCell ref="C85:C107"/>
    <mergeCell ref="D85:E85"/>
    <mergeCell ref="D86:E86"/>
    <mergeCell ref="D87:E87"/>
    <mergeCell ref="D88:H88"/>
    <mergeCell ref="D89:E89"/>
    <mergeCell ref="D90:E90"/>
    <mergeCell ref="D91:E91"/>
    <mergeCell ref="D97:E97"/>
    <mergeCell ref="D98:E98"/>
    <mergeCell ref="D101:H101"/>
    <mergeCell ref="D102:E102"/>
    <mergeCell ref="D103:E103"/>
    <mergeCell ref="D104:E104"/>
    <mergeCell ref="D105:E105"/>
    <mergeCell ref="D106:E106"/>
    <mergeCell ref="D107:E107"/>
    <mergeCell ref="C108:C116"/>
    <mergeCell ref="D108:E108"/>
    <mergeCell ref="D109:E109"/>
    <mergeCell ref="D110:E110"/>
    <mergeCell ref="D111:H111"/>
    <mergeCell ref="D112:E112"/>
    <mergeCell ref="D113:H113"/>
    <mergeCell ref="A290:H290"/>
    <mergeCell ref="A298:H298"/>
    <mergeCell ref="A289:H289"/>
    <mergeCell ref="A291:C291"/>
    <mergeCell ref="A292:C292"/>
    <mergeCell ref="A297:H297"/>
    <mergeCell ref="G291:H296"/>
    <mergeCell ref="A293:C293"/>
    <mergeCell ref="A294:C294"/>
    <mergeCell ref="A295:C295"/>
    <mergeCell ref="D62:E62"/>
    <mergeCell ref="D53:E53"/>
    <mergeCell ref="D54:H54"/>
    <mergeCell ref="D57:E57"/>
    <mergeCell ref="D58:H58"/>
    <mergeCell ref="B117:E117"/>
    <mergeCell ref="B83:E83"/>
    <mergeCell ref="D63:E63"/>
    <mergeCell ref="D64:E64"/>
    <mergeCell ref="D67:H67"/>
    <mergeCell ref="D68:E68"/>
    <mergeCell ref="H108:H110"/>
    <mergeCell ref="D114:E114"/>
    <mergeCell ref="D115:H115"/>
    <mergeCell ref="D116:E116"/>
    <mergeCell ref="B118:E118"/>
    <mergeCell ref="A119:A152"/>
    <mergeCell ref="B119:B150"/>
    <mergeCell ref="C119:C141"/>
    <mergeCell ref="D119:E119"/>
    <mergeCell ref="D120:E120"/>
    <mergeCell ref="D121:E121"/>
    <mergeCell ref="D122:H122"/>
    <mergeCell ref="D123:E123"/>
    <mergeCell ref="H119:H121"/>
    <mergeCell ref="D124:E124"/>
    <mergeCell ref="D125:E125"/>
    <mergeCell ref="D126:H126"/>
    <mergeCell ref="D127:E127"/>
    <mergeCell ref="D128:E128"/>
    <mergeCell ref="D129:E129"/>
    <mergeCell ref="D130:E130"/>
    <mergeCell ref="D131:E131"/>
    <mergeCell ref="D132:E132"/>
    <mergeCell ref="D135:H135"/>
    <mergeCell ref="D136:E136"/>
    <mergeCell ref="D137:E137"/>
    <mergeCell ref="D134:E134"/>
    <mergeCell ref="D138:E138"/>
    <mergeCell ref="D139:E139"/>
    <mergeCell ref="D140:E140"/>
    <mergeCell ref="D141:E141"/>
    <mergeCell ref="C142:C150"/>
    <mergeCell ref="D142:E142"/>
    <mergeCell ref="H142:H144"/>
    <mergeCell ref="D143:E143"/>
    <mergeCell ref="D144:E144"/>
    <mergeCell ref="D145:H145"/>
    <mergeCell ref="D146:E146"/>
    <mergeCell ref="D147:H147"/>
    <mergeCell ref="D148:E148"/>
    <mergeCell ref="D149:H149"/>
    <mergeCell ref="B84:E84"/>
    <mergeCell ref="D74:E74"/>
    <mergeCell ref="D75:E75"/>
    <mergeCell ref="D76:E76"/>
    <mergeCell ref="D77:H77"/>
    <mergeCell ref="D78:E78"/>
    <mergeCell ref="D79:H79"/>
    <mergeCell ref="D82:E82"/>
    <mergeCell ref="D150:E150"/>
    <mergeCell ref="A353:B353"/>
    <mergeCell ref="A50:H50"/>
    <mergeCell ref="A51:A84"/>
    <mergeCell ref="B51:B82"/>
    <mergeCell ref="C51:C73"/>
    <mergeCell ref="H51:H53"/>
    <mergeCell ref="C74:C82"/>
    <mergeCell ref="D71:E71"/>
    <mergeCell ref="D72:E72"/>
    <mergeCell ref="B151:E151"/>
    <mergeCell ref="A341:B341"/>
    <mergeCell ref="A349:B349"/>
    <mergeCell ref="A324:K324"/>
    <mergeCell ref="F325:G357"/>
    <mergeCell ref="A356:B356"/>
    <mergeCell ref="A357:B357"/>
    <mergeCell ref="A347:E347"/>
    <mergeCell ref="A352:E352"/>
    <mergeCell ref="A355:E355"/>
    <mergeCell ref="A351:B351"/>
    <mergeCell ref="A339:B339"/>
    <mergeCell ref="A343:B343"/>
    <mergeCell ref="A354:B354"/>
    <mergeCell ref="A346:E346"/>
    <mergeCell ref="A342:E342"/>
    <mergeCell ref="A348:B348"/>
    <mergeCell ref="A345:E345"/>
    <mergeCell ref="A340:B340"/>
    <mergeCell ref="A334:B334"/>
    <mergeCell ref="A335:B335"/>
    <mergeCell ref="A328:B328"/>
    <mergeCell ref="A338:B338"/>
    <mergeCell ref="A337:E337"/>
    <mergeCell ref="A45:B45"/>
    <mergeCell ref="A350:B350"/>
    <mergeCell ref="A329:B329"/>
    <mergeCell ref="A330:B330"/>
    <mergeCell ref="A331:B331"/>
    <mergeCell ref="A344:B344"/>
    <mergeCell ref="A336:B336"/>
    <mergeCell ref="A327:E327"/>
    <mergeCell ref="A332:E332"/>
    <mergeCell ref="A333:B333"/>
    <mergeCell ref="A325:B325"/>
    <mergeCell ref="A326:B326"/>
    <mergeCell ref="A42:B42"/>
    <mergeCell ref="A43:B43"/>
    <mergeCell ref="A44:B44"/>
    <mergeCell ref="B152:E152"/>
    <mergeCell ref="A153:A186"/>
    <mergeCell ref="B153:B184"/>
    <mergeCell ref="C153:C175"/>
    <mergeCell ref="D153:E153"/>
    <mergeCell ref="A4:B4"/>
    <mergeCell ref="A3:B3"/>
    <mergeCell ref="A5:B5"/>
    <mergeCell ref="A20:B20"/>
    <mergeCell ref="A9:B9"/>
    <mergeCell ref="A16:B16"/>
    <mergeCell ref="A18:B18"/>
    <mergeCell ref="A19:B19"/>
    <mergeCell ref="A14:H14"/>
    <mergeCell ref="E15:H21"/>
    <mergeCell ref="A32:B32"/>
    <mergeCell ref="A10:B10"/>
    <mergeCell ref="A15:B15"/>
    <mergeCell ref="A21:B21"/>
    <mergeCell ref="A31:B31"/>
    <mergeCell ref="A28:B28"/>
    <mergeCell ref="A30:B30"/>
    <mergeCell ref="A35:B35"/>
    <mergeCell ref="A27:B27"/>
    <mergeCell ref="A29:B29"/>
    <mergeCell ref="A22:H22"/>
    <mergeCell ref="A23:H23"/>
    <mergeCell ref="C24:H24"/>
    <mergeCell ref="E25:H35"/>
    <mergeCell ref="A33:B33"/>
    <mergeCell ref="A34:B34"/>
    <mergeCell ref="A26:B26"/>
    <mergeCell ref="A36:H36"/>
    <mergeCell ref="A39:B39"/>
    <mergeCell ref="A40:B40"/>
    <mergeCell ref="A41:B41"/>
    <mergeCell ref="A37:H37"/>
    <mergeCell ref="C38:H38"/>
    <mergeCell ref="E39:H48"/>
    <mergeCell ref="A46:B46"/>
    <mergeCell ref="A47:B47"/>
    <mergeCell ref="A48:B48"/>
    <mergeCell ref="A49:H49"/>
    <mergeCell ref="D73:E73"/>
    <mergeCell ref="D80:E80"/>
    <mergeCell ref="D81:H81"/>
    <mergeCell ref="H74:H76"/>
    <mergeCell ref="D69:E69"/>
    <mergeCell ref="D70:E70"/>
    <mergeCell ref="D59:E59"/>
    <mergeCell ref="D60:E60"/>
    <mergeCell ref="D61:E61"/>
    <mergeCell ref="H153:H155"/>
    <mergeCell ref="D154:E154"/>
    <mergeCell ref="D155:E155"/>
    <mergeCell ref="D156:H156"/>
    <mergeCell ref="D164:E164"/>
    <mergeCell ref="D157:E157"/>
    <mergeCell ref="D158:E158"/>
    <mergeCell ref="D159:E159"/>
    <mergeCell ref="D160:H160"/>
    <mergeCell ref="D165:E165"/>
    <mergeCell ref="D166:E166"/>
    <mergeCell ref="A6:B6"/>
    <mergeCell ref="A11:B11"/>
    <mergeCell ref="A17:B17"/>
    <mergeCell ref="A7:B7"/>
    <mergeCell ref="E3:H7"/>
    <mergeCell ref="D161:E161"/>
    <mergeCell ref="D162:E162"/>
    <mergeCell ref="D163:E163"/>
  </mergeCells>
  <dataValidations count="3">
    <dataValidation type="list" allowBlank="1" showInputMessage="1" showErrorMessage="1" sqref="B25">
      <formula1>"Situé en local chauffé,Situé en local non chauffé"</formula1>
    </dataValidation>
    <dataValidation type="list" allowBlank="1" showInputMessage="1" showErrorMessage="1" sqref="B24">
      <formula1>"Oui,Non"</formula1>
    </dataValidation>
    <dataValidation type="list" allowBlank="1" showInputMessage="1" showErrorMessage="1" sqref="B38">
      <formula1>"Oui, Non"</formula1>
    </dataValidation>
  </dataValidations>
  <printOptions/>
  <pageMargins left="0.75" right="0.75" top="1" bottom="1" header="0.4921259845" footer="0.4921259845"/>
  <pageSetup orientation="portrait" paperSize="9" r:id="rId1"/>
  <ignoredErrors>
    <ignoredError sqref="F171 F137 F103:F107" formula="1"/>
    <ignoredError sqref="F51:F52 F74 F153:F154 F85:F86 F142 F119:F120" unlockedFormula="1"/>
    <ignoredError sqref="F108" formula="1" unlockedFormula="1"/>
  </ignoredErrors>
</worksheet>
</file>

<file path=xl/worksheets/sheet5.xml><?xml version="1.0" encoding="utf-8"?>
<worksheet xmlns="http://schemas.openxmlformats.org/spreadsheetml/2006/main" xmlns:r="http://schemas.openxmlformats.org/officeDocument/2006/relationships">
  <sheetPr codeName="Feuil6"/>
  <dimension ref="A1:K37"/>
  <sheetViews>
    <sheetView showGridLines="0" workbookViewId="0" topLeftCell="A1">
      <selection activeCell="D15" sqref="D15"/>
    </sheetView>
  </sheetViews>
  <sheetFormatPr defaultColWidth="11.421875" defaultRowHeight="12.75"/>
  <cols>
    <col min="1" max="1" width="31.421875" style="5" customWidth="1"/>
    <col min="2" max="2" width="12.28125" style="5" customWidth="1"/>
    <col min="3" max="3" width="17.57421875" style="5" customWidth="1"/>
    <col min="4" max="4" width="17.421875" style="5" customWidth="1"/>
    <col min="5" max="5" width="5.28125" style="5" customWidth="1"/>
    <col min="6" max="6" width="9.8515625" style="5" customWidth="1"/>
    <col min="7" max="16384" width="11.421875" style="5" customWidth="1"/>
  </cols>
  <sheetData>
    <row r="1" spans="1:11" ht="15" customHeight="1" thickBot="1">
      <c r="A1" s="363" t="s">
        <v>79</v>
      </c>
      <c r="B1" s="364"/>
      <c r="C1" s="364"/>
      <c r="D1" s="364"/>
      <c r="E1" s="366"/>
      <c r="G1" s="269"/>
      <c r="H1" s="269"/>
      <c r="I1" s="269"/>
      <c r="J1" s="269"/>
      <c r="K1" s="269"/>
    </row>
    <row r="2" spans="1:11" ht="15" customHeight="1">
      <c r="A2" s="360"/>
      <c r="B2" s="361"/>
      <c r="C2" s="361"/>
      <c r="D2" s="361"/>
      <c r="E2" s="362"/>
      <c r="G2" s="269"/>
      <c r="H2" s="269"/>
      <c r="I2" s="269"/>
      <c r="J2" s="269"/>
      <c r="K2" s="269"/>
    </row>
    <row r="3" spans="1:11" ht="15" customHeight="1">
      <c r="A3" s="308" t="s">
        <v>504</v>
      </c>
      <c r="B3" s="350"/>
      <c r="C3" s="350"/>
      <c r="D3" s="51">
        <f>'Logement (1)'!D3</f>
        <v>0</v>
      </c>
      <c r="E3" s="94" t="s">
        <v>4</v>
      </c>
      <c r="G3" s="269"/>
      <c r="H3" s="269"/>
      <c r="I3" s="269"/>
      <c r="J3" s="269"/>
      <c r="K3" s="269"/>
    </row>
    <row r="4" spans="1:11" ht="15" customHeight="1">
      <c r="A4" s="308" t="s">
        <v>83</v>
      </c>
      <c r="B4" s="350"/>
      <c r="C4" s="350"/>
      <c r="D4" s="95">
        <f>'Logement (1)'!E43</f>
        <v>0</v>
      </c>
      <c r="E4" s="55" t="s">
        <v>7</v>
      </c>
      <c r="G4" s="269"/>
      <c r="H4" s="269"/>
      <c r="I4" s="269"/>
      <c r="J4" s="269"/>
      <c r="K4" s="269"/>
    </row>
    <row r="5" spans="1:11" ht="15" customHeight="1">
      <c r="A5" s="308" t="s">
        <v>84</v>
      </c>
      <c r="B5" s="350"/>
      <c r="C5" s="350"/>
      <c r="D5" s="96">
        <f>'Logement (1)'!D5</f>
        <v>0</v>
      </c>
      <c r="E5" s="55" t="s">
        <v>12</v>
      </c>
      <c r="G5" s="269"/>
      <c r="H5" s="269"/>
      <c r="I5" s="269"/>
      <c r="J5" s="269"/>
      <c r="K5" s="269"/>
    </row>
    <row r="6" spans="1:11" ht="15" customHeight="1">
      <c r="A6" s="308"/>
      <c r="B6" s="350"/>
      <c r="C6" s="350"/>
      <c r="D6" s="350"/>
      <c r="E6" s="316"/>
      <c r="G6" s="269"/>
      <c r="H6" s="269"/>
      <c r="I6" s="269"/>
      <c r="J6" s="269"/>
      <c r="K6" s="269"/>
    </row>
    <row r="7" spans="1:11" ht="15" customHeight="1">
      <c r="A7" s="434" t="s">
        <v>175</v>
      </c>
      <c r="B7" s="435"/>
      <c r="C7" s="435"/>
      <c r="D7" s="435"/>
      <c r="E7" s="436"/>
      <c r="G7" s="269"/>
      <c r="H7" s="269"/>
      <c r="I7" s="269"/>
      <c r="J7" s="269"/>
      <c r="K7" s="269"/>
    </row>
    <row r="8" spans="1:11" ht="15" customHeight="1">
      <c r="A8" s="308" t="s">
        <v>171</v>
      </c>
      <c r="B8" s="350"/>
      <c r="C8" s="350"/>
      <c r="D8" s="53" t="s">
        <v>42</v>
      </c>
      <c r="E8" s="94" t="s">
        <v>4</v>
      </c>
      <c r="G8" s="269"/>
      <c r="H8" s="269"/>
      <c r="I8" s="269"/>
      <c r="J8" s="269"/>
      <c r="K8" s="269"/>
    </row>
    <row r="9" spans="1:11" ht="15" customHeight="1">
      <c r="A9" s="308" t="str">
        <f>"Apports thermiques internes et externes pour le mois "&amp;IF(OR(D8="avril",D8="août",D8="octobre"),"d'","de ")&amp;D8&amp;" :"</f>
        <v>Apports thermiques internes et externes pour le mois de septembre :</v>
      </c>
      <c r="B9" s="350"/>
      <c r="C9" s="350"/>
      <c r="D9" s="97">
        <f>'Apports occupants (2)'!B3+'Apports solaires (3)'!B48+'Apports récupérables ECS (4)'!C356</f>
        <v>0</v>
      </c>
      <c r="E9" s="55" t="s">
        <v>12</v>
      </c>
      <c r="G9" s="269"/>
      <c r="H9" s="269"/>
      <c r="I9" s="269"/>
      <c r="J9" s="269"/>
      <c r="K9" s="269"/>
    </row>
    <row r="10" spans="1:11" ht="15" customHeight="1">
      <c r="A10" s="308" t="s">
        <v>178</v>
      </c>
      <c r="B10" s="350"/>
      <c r="C10" s="350"/>
      <c r="D10" s="98" t="e">
        <f>D4-IF(D14="Oui",D17,D9)/D5+1</f>
        <v>#DIV/0!</v>
      </c>
      <c r="E10" s="55" t="s">
        <v>7</v>
      </c>
      <c r="G10" s="269"/>
      <c r="H10" s="269"/>
      <c r="I10" s="269"/>
      <c r="J10" s="269"/>
      <c r="K10" s="269"/>
    </row>
    <row r="11" spans="1:11" ht="15" customHeight="1">
      <c r="A11" s="308" t="e">
        <f>"Température extérieure moyenne du mois "&amp;IF(OR(A33="avril",A33="août",A33="octobre"),"d'","de ")&amp;A33&amp;" :"</f>
        <v>#VALUE!</v>
      </c>
      <c r="B11" s="350"/>
      <c r="C11" s="350"/>
      <c r="D11" s="96" t="e">
        <f>C34</f>
        <v>#VALUE!</v>
      </c>
      <c r="E11" s="55" t="s">
        <v>7</v>
      </c>
      <c r="G11" s="269"/>
      <c r="H11" s="269"/>
      <c r="I11" s="269"/>
      <c r="J11" s="269"/>
      <c r="K11" s="269"/>
    </row>
    <row r="12" spans="1:11" ht="15" customHeight="1">
      <c r="A12" s="308" t="e">
        <f>"Température extérieure moyenne du mois "&amp;IF(OR(B33="avril",B33="août",B33="octobre"),"d'","de ")&amp;B33&amp;" :"</f>
        <v>#VALUE!</v>
      </c>
      <c r="B12" s="350"/>
      <c r="C12" s="350"/>
      <c r="D12" s="96" t="e">
        <f>C35</f>
        <v>#VALUE!</v>
      </c>
      <c r="E12" s="55" t="s">
        <v>7</v>
      </c>
      <c r="G12" s="269"/>
      <c r="H12" s="269"/>
      <c r="I12" s="269"/>
      <c r="J12" s="269"/>
      <c r="K12" s="269"/>
    </row>
    <row r="13" spans="1:11" ht="15" customHeight="1">
      <c r="A13" s="308" t="s">
        <v>87</v>
      </c>
      <c r="B13" s="350"/>
      <c r="C13" s="350"/>
      <c r="D13" s="60" t="e">
        <f>B37&amp;" "&amp;IF(15+ROUNDDOWN(B36/B35,0)&gt;C36,B33,A33)</f>
        <v>#VALUE!</v>
      </c>
      <c r="E13" s="94" t="s">
        <v>4</v>
      </c>
      <c r="G13" s="269"/>
      <c r="H13" s="269"/>
      <c r="I13" s="269"/>
      <c r="J13" s="269"/>
      <c r="K13" s="269"/>
    </row>
    <row r="14" spans="1:11" ht="15" customHeight="1">
      <c r="A14" s="433" t="s">
        <v>179</v>
      </c>
      <c r="B14" s="275"/>
      <c r="C14" s="276"/>
      <c r="D14" s="53" t="s">
        <v>166</v>
      </c>
      <c r="E14" s="94" t="s">
        <v>4</v>
      </c>
      <c r="G14" s="269"/>
      <c r="H14" s="269"/>
      <c r="I14" s="269"/>
      <c r="J14" s="269"/>
      <c r="K14" s="269"/>
    </row>
    <row r="15" spans="1:11" ht="15" customHeight="1">
      <c r="A15" s="433" t="s">
        <v>180</v>
      </c>
      <c r="B15" s="275"/>
      <c r="C15" s="276"/>
      <c r="D15" s="42"/>
      <c r="E15" s="55" t="s">
        <v>12</v>
      </c>
      <c r="G15" s="269"/>
      <c r="H15" s="269"/>
      <c r="I15" s="269"/>
      <c r="J15" s="269"/>
      <c r="K15" s="269"/>
    </row>
    <row r="16" spans="1:11" ht="15" customHeight="1">
      <c r="A16" s="433" t="s">
        <v>181</v>
      </c>
      <c r="B16" s="275"/>
      <c r="C16" s="276"/>
      <c r="D16" s="42"/>
      <c r="E16" s="55" t="s">
        <v>12</v>
      </c>
      <c r="G16" s="269"/>
      <c r="H16" s="269"/>
      <c r="I16" s="269"/>
      <c r="J16" s="269"/>
      <c r="K16" s="269"/>
    </row>
    <row r="17" spans="1:11" ht="15" customHeight="1">
      <c r="A17" s="290" t="s">
        <v>182</v>
      </c>
      <c r="B17" s="275"/>
      <c r="C17" s="276"/>
      <c r="D17" s="52">
        <f>(D15+D16)/2</f>
        <v>0</v>
      </c>
      <c r="E17" s="55" t="s">
        <v>12</v>
      </c>
      <c r="G17" s="269"/>
      <c r="H17" s="269"/>
      <c r="I17" s="269"/>
      <c r="J17" s="269"/>
      <c r="K17" s="269"/>
    </row>
    <row r="18" spans="1:11" ht="15" customHeight="1">
      <c r="A18" s="434" t="s">
        <v>176</v>
      </c>
      <c r="B18" s="435"/>
      <c r="C18" s="435"/>
      <c r="D18" s="435"/>
      <c r="E18" s="436"/>
      <c r="G18" s="269"/>
      <c r="H18" s="269"/>
      <c r="I18" s="269"/>
      <c r="J18" s="269"/>
      <c r="K18" s="269"/>
    </row>
    <row r="19" spans="1:11" ht="15" customHeight="1">
      <c r="A19" s="308" t="s">
        <v>172</v>
      </c>
      <c r="B19" s="350"/>
      <c r="C19" s="350"/>
      <c r="D19" s="53" t="s">
        <v>38</v>
      </c>
      <c r="E19" s="94" t="s">
        <v>4</v>
      </c>
      <c r="F19" s="7"/>
      <c r="G19" s="269"/>
      <c r="H19" s="269"/>
      <c r="I19" s="269"/>
      <c r="J19" s="269"/>
      <c r="K19" s="269"/>
    </row>
    <row r="20" spans="1:11" ht="15" customHeight="1">
      <c r="A20" s="308" t="str">
        <f>"Apports thermiques internes et externes pour le mois "&amp;IF(OR(D19="avril",D19="août",D19="octobre"),"d'","de ")&amp;D19&amp;" :"</f>
        <v>Apports thermiques internes et externes pour le mois de mai :</v>
      </c>
      <c r="B20" s="350"/>
      <c r="C20" s="350"/>
      <c r="D20" s="97">
        <f>'Apports occupants (2)'!B3+'Apports solaires (3)'!B74+'Apports récupérables ECS (4)'!J356</f>
        <v>0</v>
      </c>
      <c r="E20" s="55" t="s">
        <v>12</v>
      </c>
      <c r="G20" s="269"/>
      <c r="H20" s="269"/>
      <c r="I20" s="269"/>
      <c r="J20" s="269"/>
      <c r="K20" s="269"/>
    </row>
    <row r="21" spans="1:11" ht="15" customHeight="1">
      <c r="A21" s="308" t="s">
        <v>177</v>
      </c>
      <c r="B21" s="350"/>
      <c r="C21" s="350"/>
      <c r="D21" s="98" t="e">
        <f>D4-IF(D25="Oui",D28,D20)/D5+1</f>
        <v>#DIV/0!</v>
      </c>
      <c r="E21" s="55" t="s">
        <v>7</v>
      </c>
      <c r="G21" s="269"/>
      <c r="H21" s="269"/>
      <c r="I21" s="269"/>
      <c r="J21" s="269"/>
      <c r="K21" s="269"/>
    </row>
    <row r="22" spans="1:11" ht="15" customHeight="1">
      <c r="A22" s="308" t="e">
        <f>"Température extérieure moyenne du mois "&amp;IF(OR(D33="avril",D33="août",D33="octobre"),"d'","de ")&amp;D33&amp;" :"</f>
        <v>#VALUE!</v>
      </c>
      <c r="B22" s="350"/>
      <c r="C22" s="350"/>
      <c r="D22" s="96" t="e">
        <f>F34</f>
        <v>#VALUE!</v>
      </c>
      <c r="E22" s="55" t="s">
        <v>7</v>
      </c>
      <c r="G22" s="269"/>
      <c r="H22" s="269"/>
      <c r="I22" s="269"/>
      <c r="J22" s="269"/>
      <c r="K22" s="269"/>
    </row>
    <row r="23" spans="1:11" ht="15" customHeight="1">
      <c r="A23" s="308" t="e">
        <f>"Température extérieure moyenne du mois "&amp;IF(OR(E33="avril",E33="août",E33="octobre"),"d'","de ")&amp;E33&amp;" :"</f>
        <v>#VALUE!</v>
      </c>
      <c r="B23" s="350"/>
      <c r="C23" s="350"/>
      <c r="D23" s="96" t="e">
        <f>F35</f>
        <v>#VALUE!</v>
      </c>
      <c r="E23" s="55" t="s">
        <v>7</v>
      </c>
      <c r="G23" s="269"/>
      <c r="H23" s="269"/>
      <c r="I23" s="269"/>
      <c r="J23" s="269"/>
      <c r="K23" s="269"/>
    </row>
    <row r="24" spans="1:11" ht="15" customHeight="1">
      <c r="A24" s="308" t="s">
        <v>88</v>
      </c>
      <c r="B24" s="350"/>
      <c r="C24" s="350"/>
      <c r="D24" s="60" t="e">
        <f>E37&amp;" "&amp;IF(15+ROUNDUP(E36/E35,0)&gt;F36,E33,D33)</f>
        <v>#DIV/0!</v>
      </c>
      <c r="E24" s="94" t="s">
        <v>4</v>
      </c>
      <c r="G24" s="269"/>
      <c r="H24" s="269"/>
      <c r="I24" s="269"/>
      <c r="J24" s="269"/>
      <c r="K24" s="269"/>
    </row>
    <row r="25" spans="1:11" ht="15" customHeight="1">
      <c r="A25" s="433" t="s">
        <v>179</v>
      </c>
      <c r="B25" s="275"/>
      <c r="C25" s="276"/>
      <c r="D25" s="53" t="s">
        <v>166</v>
      </c>
      <c r="E25" s="94" t="s">
        <v>4</v>
      </c>
      <c r="G25" s="269"/>
      <c r="H25" s="269"/>
      <c r="I25" s="269"/>
      <c r="J25" s="269"/>
      <c r="K25" s="269"/>
    </row>
    <row r="26" spans="1:11" ht="15" customHeight="1">
      <c r="A26" s="433" t="s">
        <v>180</v>
      </c>
      <c r="B26" s="275"/>
      <c r="C26" s="276"/>
      <c r="D26" s="42"/>
      <c r="E26" s="55" t="s">
        <v>12</v>
      </c>
      <c r="G26" s="269"/>
      <c r="H26" s="269"/>
      <c r="I26" s="269"/>
      <c r="J26" s="269"/>
      <c r="K26" s="269"/>
    </row>
    <row r="27" spans="1:11" ht="15" customHeight="1">
      <c r="A27" s="433" t="s">
        <v>181</v>
      </c>
      <c r="B27" s="275"/>
      <c r="C27" s="276"/>
      <c r="D27" s="42"/>
      <c r="E27" s="55" t="s">
        <v>12</v>
      </c>
      <c r="G27" s="269"/>
      <c r="H27" s="269"/>
      <c r="I27" s="269"/>
      <c r="J27" s="269"/>
      <c r="K27" s="269"/>
    </row>
    <row r="28" spans="1:11" ht="15" customHeight="1">
      <c r="A28" s="290" t="s">
        <v>182</v>
      </c>
      <c r="B28" s="275"/>
      <c r="C28" s="276"/>
      <c r="D28" s="52">
        <f>(D26+D27)/2</f>
        <v>0</v>
      </c>
      <c r="E28" s="55" t="s">
        <v>12</v>
      </c>
      <c r="G28" s="269"/>
      <c r="H28" s="269"/>
      <c r="I28" s="269"/>
      <c r="J28" s="269"/>
      <c r="K28" s="269"/>
    </row>
    <row r="29" spans="1:11" ht="15" customHeight="1">
      <c r="A29" s="308"/>
      <c r="B29" s="350"/>
      <c r="C29" s="350"/>
      <c r="D29" s="350"/>
      <c r="E29" s="316"/>
      <c r="G29" s="269"/>
      <c r="H29" s="269"/>
      <c r="I29" s="269"/>
      <c r="J29" s="269"/>
      <c r="K29" s="269"/>
    </row>
    <row r="30" spans="1:11" ht="15" customHeight="1" thickBot="1">
      <c r="A30" s="341" t="s">
        <v>90</v>
      </c>
      <c r="B30" s="342"/>
      <c r="C30" s="342"/>
      <c r="D30" s="100" t="e">
        <f>365.25-(D13-D24)</f>
        <v>#VALUE!</v>
      </c>
      <c r="E30" s="101" t="s">
        <v>164</v>
      </c>
      <c r="G30" s="269"/>
      <c r="H30" s="269"/>
      <c r="I30" s="269"/>
      <c r="J30" s="269"/>
      <c r="K30" s="269"/>
    </row>
    <row r="32" spans="1:6" s="8" customFormat="1" ht="12.75" hidden="1">
      <c r="A32" s="372" t="s">
        <v>91</v>
      </c>
      <c r="B32" s="372"/>
      <c r="C32" s="372"/>
      <c r="D32" s="372" t="s">
        <v>92</v>
      </c>
      <c r="E32" s="372"/>
      <c r="F32" s="372"/>
    </row>
    <row r="33" spans="1:6" s="8" customFormat="1" ht="12.75" hidden="1">
      <c r="A33" s="9" t="e">
        <f>SAISONCHAUFFAGE($D$10,1,"Début")</f>
        <v>#VALUE!</v>
      </c>
      <c r="B33" s="431" t="e">
        <f>SAISONCHAUFFAGE($D$10,2,"Début")</f>
        <v>#VALUE!</v>
      </c>
      <c r="C33" s="432"/>
      <c r="D33" s="9" t="e">
        <f>SAISONCHAUFFAGE(D21,1,"Fin")</f>
        <v>#VALUE!</v>
      </c>
      <c r="E33" s="431" t="e">
        <f>SAISONCHAUFFAGE(D21,2,"Fin")</f>
        <v>#VALUE!</v>
      </c>
      <c r="F33" s="432"/>
    </row>
    <row r="34" spans="1:6" s="8" customFormat="1" ht="12.75" hidden="1">
      <c r="A34" s="4" t="s">
        <v>85</v>
      </c>
      <c r="B34" s="6" t="e">
        <f>C34-C35</f>
        <v>#VALUE!</v>
      </c>
      <c r="C34" s="4" t="e">
        <f>SAISONCHAUFFAGE($D$10,3,"Début")</f>
        <v>#VALUE!</v>
      </c>
      <c r="D34" s="4"/>
      <c r="E34" s="6" t="e">
        <f>F35-F34</f>
        <v>#VALUE!</v>
      </c>
      <c r="F34" s="4" t="e">
        <f>SAISONCHAUFFAGE(D21,3,"Fin")</f>
        <v>#VALUE!</v>
      </c>
    </row>
    <row r="35" spans="1:6" s="8" customFormat="1" ht="12.75" hidden="1">
      <c r="A35" s="4" t="s">
        <v>89</v>
      </c>
      <c r="B35" s="6" t="e">
        <f>B34/C36</f>
        <v>#VALUE!</v>
      </c>
      <c r="C35" s="4" t="e">
        <f>SAISONCHAUFFAGE($D$10,4,"Début")</f>
        <v>#VALUE!</v>
      </c>
      <c r="D35" s="4"/>
      <c r="E35" s="6" t="e">
        <f>E34/F36</f>
        <v>#VALUE!</v>
      </c>
      <c r="F35" s="4" t="e">
        <f>SAISONCHAUFFAGE(D21,4,"Fin")</f>
        <v>#VALUE!</v>
      </c>
    </row>
    <row r="36" spans="1:6" s="8" customFormat="1" ht="12.75" hidden="1">
      <c r="A36" s="4" t="s">
        <v>86</v>
      </c>
      <c r="B36" s="6" t="e">
        <f>C34-D10</f>
        <v>#VALUE!</v>
      </c>
      <c r="C36" s="4" t="e">
        <f>SAISONCHAUFFAGE($D$10,5,"Début")</f>
        <v>#VALUE!</v>
      </c>
      <c r="D36" s="4"/>
      <c r="E36" s="6" t="e">
        <f>D21-F34</f>
        <v>#DIV/0!</v>
      </c>
      <c r="F36" s="4" t="e">
        <f>SAISONCHAUFFAGE(D21,5,"Fin")</f>
        <v>#VALUE!</v>
      </c>
    </row>
    <row r="37" spans="1:6" s="8" customFormat="1" ht="12.75" hidden="1">
      <c r="A37" s="4"/>
      <c r="B37" s="4" t="e">
        <f>IF(15+ROUNDDOWN(B36/B35,0)=C36,1,IF(15+ROUNDDOWN(B36/B35,0)&lt;C36,15+ROUNDDOWN(B36/B35,0),15+ROUNDDOWN(B36/B35,0)-C36))</f>
        <v>#VALUE!</v>
      </c>
      <c r="C37" s="4"/>
      <c r="D37" s="4"/>
      <c r="E37" s="4" t="e">
        <f>IF(15+ROUNDUP(E36/E35,0)=F36,1,IF(15+ROUNDUP(E36/E35,0)&gt;F36,15+ROUNDUP(E36/E35,0)-F36,15+ROUNDUP(E36/E35,0)))</f>
        <v>#DIV/0!</v>
      </c>
      <c r="F37" s="4"/>
    </row>
    <row r="38" s="8" customFormat="1" ht="12.75"/>
    <row r="39" s="8" customFormat="1" ht="12.75"/>
    <row r="40" s="8" customFormat="1" ht="12.75"/>
  </sheetData>
  <sheetProtection sheet="1" objects="1" scenarios="1" selectLockedCells="1"/>
  <mergeCells count="34">
    <mergeCell ref="A30:C30"/>
    <mergeCell ref="A2:E2"/>
    <mergeCell ref="A6:E6"/>
    <mergeCell ref="A18:E18"/>
    <mergeCell ref="A20:C20"/>
    <mergeCell ref="A14:C14"/>
    <mergeCell ref="A15:C15"/>
    <mergeCell ref="A16:C16"/>
    <mergeCell ref="A17:C17"/>
    <mergeCell ref="A7:E7"/>
    <mergeCell ref="A19:C19"/>
    <mergeCell ref="D32:F32"/>
    <mergeCell ref="A32:C32"/>
    <mergeCell ref="A22:C22"/>
    <mergeCell ref="A23:C23"/>
    <mergeCell ref="A25:C25"/>
    <mergeCell ref="A26:C26"/>
    <mergeCell ref="A27:C27"/>
    <mergeCell ref="A28:C28"/>
    <mergeCell ref="A29:E29"/>
    <mergeCell ref="A11:C11"/>
    <mergeCell ref="A12:C12"/>
    <mergeCell ref="A8:C8"/>
    <mergeCell ref="A9:C9"/>
    <mergeCell ref="B33:C33"/>
    <mergeCell ref="E33:F33"/>
    <mergeCell ref="A21:C21"/>
    <mergeCell ref="A1:E1"/>
    <mergeCell ref="A13:C13"/>
    <mergeCell ref="A24:C24"/>
    <mergeCell ref="A3:C3"/>
    <mergeCell ref="A5:C5"/>
    <mergeCell ref="A4:C4"/>
    <mergeCell ref="A10:C10"/>
  </mergeCells>
  <dataValidations count="4">
    <dataValidation allowBlank="1" showInputMessage="1" showErrorMessage="1" errorTitle="Zone d'hiver." error="Le choix est à faire seulement dans la liste !" sqref="D3"/>
    <dataValidation type="list" allowBlank="1" showInputMessage="1" showErrorMessage="1" sqref="D8">
      <formula1>"août,septembre,octobre,novembre,décembre"</formula1>
    </dataValidation>
    <dataValidation type="list" allowBlank="1" showInputMessage="1" showErrorMessage="1" sqref="D19">
      <formula1>"janvier,février,mars,avril,mai,juin,juillet"</formula1>
    </dataValidation>
    <dataValidation type="list" allowBlank="1" showInputMessage="1" showErrorMessage="1" sqref="D14 D25">
      <formula1>"Oui,Non"</formula1>
    </dataValidation>
  </dataValidations>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sheetPr codeName="Feuil13"/>
  <dimension ref="A1:J223"/>
  <sheetViews>
    <sheetView showGridLines="0" workbookViewId="0" topLeftCell="A1">
      <selection activeCell="D11" sqref="D11"/>
    </sheetView>
  </sheetViews>
  <sheetFormatPr defaultColWidth="11.421875" defaultRowHeight="12.75"/>
  <cols>
    <col min="1" max="1" width="25.57421875" style="5" customWidth="1"/>
    <col min="2" max="2" width="44.140625" style="5" customWidth="1"/>
    <col min="3" max="3" width="16.7109375" style="5" customWidth="1"/>
    <col min="4" max="4" width="40.28125" style="5" customWidth="1"/>
    <col min="5" max="5" width="14.140625" style="5" customWidth="1"/>
    <col min="6" max="6" width="11.421875" style="5" customWidth="1"/>
    <col min="7" max="7" width="19.140625" style="5" customWidth="1"/>
    <col min="8" max="8" width="11.421875" style="5" customWidth="1"/>
    <col min="9" max="9" width="18.00390625" style="5" customWidth="1"/>
    <col min="10" max="16384" width="11.421875" style="5" customWidth="1"/>
  </cols>
  <sheetData>
    <row r="1" spans="1:7" ht="15" customHeight="1" thickBot="1">
      <c r="A1" s="363" t="s">
        <v>141</v>
      </c>
      <c r="B1" s="364"/>
      <c r="C1" s="364"/>
      <c r="D1" s="364"/>
      <c r="E1" s="437"/>
      <c r="F1" s="437"/>
      <c r="G1" s="438"/>
    </row>
    <row r="2" spans="1:7" ht="15" customHeight="1">
      <c r="A2" s="443"/>
      <c r="B2" s="444"/>
      <c r="C2" s="444"/>
      <c r="D2" s="444"/>
      <c r="E2" s="444"/>
      <c r="F2" s="440"/>
      <c r="G2" s="441"/>
    </row>
    <row r="3" spans="1:7" ht="15" customHeight="1">
      <c r="A3" s="445" t="s">
        <v>504</v>
      </c>
      <c r="B3" s="446"/>
      <c r="C3" s="447"/>
      <c r="D3" s="85">
        <f>'Logement (1)'!D3</f>
        <v>0</v>
      </c>
      <c r="E3" s="54" t="s">
        <v>4</v>
      </c>
      <c r="F3" s="345"/>
      <c r="G3" s="346"/>
    </row>
    <row r="4" spans="1:7" ht="15" customHeight="1">
      <c r="A4" s="376" t="s">
        <v>78</v>
      </c>
      <c r="B4" s="350"/>
      <c r="C4" s="350"/>
      <c r="D4" s="85">
        <f>'Logement (1)'!D10</f>
        <v>0</v>
      </c>
      <c r="E4" s="54" t="s">
        <v>4</v>
      </c>
      <c r="F4" s="345"/>
      <c r="G4" s="346"/>
    </row>
    <row r="5" spans="1:7" ht="15" customHeight="1">
      <c r="A5" s="376" t="s">
        <v>3</v>
      </c>
      <c r="B5" s="350"/>
      <c r="C5" s="350"/>
      <c r="D5" s="85">
        <f>'Logement (1)'!D5</f>
        <v>0</v>
      </c>
      <c r="E5" s="52" t="s">
        <v>5</v>
      </c>
      <c r="F5" s="345"/>
      <c r="G5" s="346"/>
    </row>
    <row r="6" spans="1:7" ht="15" customHeight="1">
      <c r="A6" s="308" t="str">
        <f>"Température moyenne du mois "&amp;IF(OR(D4="avril",D4="août",D4="octobre"),"d'","de ")&amp;IF(D4&lt;&gt;0,D4,"")&amp;" :"</f>
        <v>Température moyenne du mois de  :</v>
      </c>
      <c r="B6" s="350"/>
      <c r="C6" s="350"/>
      <c r="D6" s="74" t="e">
        <f>'Logement (1)'!D11</f>
        <v>#N/A</v>
      </c>
      <c r="E6" s="52" t="s">
        <v>7</v>
      </c>
      <c r="F6" s="345"/>
      <c r="G6" s="346"/>
    </row>
    <row r="7" spans="1:7" ht="15" customHeight="1">
      <c r="A7" s="308" t="s">
        <v>95</v>
      </c>
      <c r="B7" s="350"/>
      <c r="C7" s="350"/>
      <c r="D7" s="74">
        <f>'Logement (1)'!D8</f>
        <v>0</v>
      </c>
      <c r="E7" s="54" t="s">
        <v>4</v>
      </c>
      <c r="F7" s="345"/>
      <c r="G7" s="346"/>
    </row>
    <row r="8" spans="1:7" ht="15" customHeight="1">
      <c r="A8" s="308" t="s">
        <v>132</v>
      </c>
      <c r="B8" s="350"/>
      <c r="C8" s="350"/>
      <c r="D8" s="53"/>
      <c r="E8" s="54" t="s">
        <v>4</v>
      </c>
      <c r="F8" s="442"/>
      <c r="G8" s="424"/>
    </row>
    <row r="9" spans="1:7" ht="15" customHeight="1" thickBot="1">
      <c r="A9" s="425"/>
      <c r="B9" s="415"/>
      <c r="C9" s="415"/>
      <c r="D9" s="415"/>
      <c r="E9" s="415"/>
      <c r="F9" s="415"/>
      <c r="G9" s="426"/>
    </row>
    <row r="10" spans="1:7" ht="15" customHeight="1">
      <c r="A10" s="301" t="s">
        <v>278</v>
      </c>
      <c r="B10" s="302"/>
      <c r="C10" s="302"/>
      <c r="D10" s="302"/>
      <c r="E10" s="302"/>
      <c r="F10" s="285"/>
      <c r="G10" s="286"/>
    </row>
    <row r="11" spans="1:10" ht="15" customHeight="1">
      <c r="A11" s="349" t="s">
        <v>509</v>
      </c>
      <c r="B11" s="350"/>
      <c r="C11" s="350"/>
      <c r="D11" s="42"/>
      <c r="E11" s="52" t="s">
        <v>97</v>
      </c>
      <c r="F11" s="350"/>
      <c r="G11" s="316"/>
      <c r="H11" s="13"/>
      <c r="I11" s="13"/>
      <c r="J11" s="13"/>
    </row>
    <row r="12" spans="1:10" ht="15" customHeight="1">
      <c r="A12" s="308" t="s">
        <v>98</v>
      </c>
      <c r="B12" s="350"/>
      <c r="C12" s="350"/>
      <c r="D12" s="42"/>
      <c r="E12" s="52" t="s">
        <v>97</v>
      </c>
      <c r="F12" s="350"/>
      <c r="G12" s="316"/>
      <c r="H12" s="13"/>
      <c r="I12" s="13"/>
      <c r="J12" s="13"/>
    </row>
    <row r="13" spans="1:10" ht="15" customHeight="1">
      <c r="A13" s="349" t="s">
        <v>104</v>
      </c>
      <c r="B13" s="350"/>
      <c r="C13" s="350"/>
      <c r="D13" s="42"/>
      <c r="E13" s="74" t="s">
        <v>97</v>
      </c>
      <c r="F13" s="350"/>
      <c r="G13" s="316"/>
      <c r="H13" s="14"/>
      <c r="I13" s="13"/>
      <c r="J13" s="13"/>
    </row>
    <row r="14" spans="1:10" ht="15" customHeight="1">
      <c r="A14" s="308" t="s">
        <v>103</v>
      </c>
      <c r="B14" s="350"/>
      <c r="C14" s="350"/>
      <c r="D14" s="42"/>
      <c r="E14" s="74" t="s">
        <v>102</v>
      </c>
      <c r="F14" s="350"/>
      <c r="G14" s="316"/>
      <c r="H14" s="14"/>
      <c r="I14" s="13"/>
      <c r="J14" s="13"/>
    </row>
    <row r="15" spans="1:10" ht="15" customHeight="1">
      <c r="A15" s="349" t="s">
        <v>100</v>
      </c>
      <c r="B15" s="350"/>
      <c r="C15" s="350"/>
      <c r="D15" s="56">
        <f>IF(AND(D11&lt;&gt;"",D11&lt;&gt;0),5.5+3.1/D11^0.25,0)</f>
        <v>0</v>
      </c>
      <c r="E15" s="86" t="s">
        <v>4</v>
      </c>
      <c r="F15" s="350"/>
      <c r="G15" s="316"/>
      <c r="H15" s="14"/>
      <c r="I15" s="13"/>
      <c r="J15" s="13"/>
    </row>
    <row r="16" spans="1:10" ht="15" customHeight="1" thickBot="1">
      <c r="A16" s="341" t="s">
        <v>101</v>
      </c>
      <c r="B16" s="342"/>
      <c r="C16" s="342"/>
      <c r="D16" s="87">
        <f>IF(AND(D11&lt;&gt;"",D11&lt;&gt;0),PI()/(1/(2*D14)*LN((D11+(D13*2))/D11)+1/(D15*(D11+(D13*2)))),0)</f>
        <v>0</v>
      </c>
      <c r="E16" s="75" t="s">
        <v>102</v>
      </c>
      <c r="F16" s="342"/>
      <c r="G16" s="315"/>
      <c r="H16" s="15"/>
      <c r="I16" s="13"/>
      <c r="J16" s="13"/>
    </row>
    <row r="17" spans="1:10" ht="15" customHeight="1" thickBot="1">
      <c r="A17" s="384"/>
      <c r="B17" s="385"/>
      <c r="C17" s="385"/>
      <c r="D17" s="385"/>
      <c r="E17" s="385"/>
      <c r="F17" s="385"/>
      <c r="G17" s="386"/>
      <c r="H17" s="14"/>
      <c r="I17" s="13"/>
      <c r="J17" s="13"/>
    </row>
    <row r="18" spans="1:10" ht="15" customHeight="1">
      <c r="A18" s="301" t="s">
        <v>256</v>
      </c>
      <c r="B18" s="302"/>
      <c r="C18" s="302"/>
      <c r="D18" s="302"/>
      <c r="E18" s="302"/>
      <c r="F18" s="285"/>
      <c r="G18" s="286"/>
      <c r="H18" s="14"/>
      <c r="I18" s="13"/>
      <c r="J18" s="13"/>
    </row>
    <row r="19" spans="1:10" ht="15" customHeight="1">
      <c r="A19" s="434" t="s">
        <v>139</v>
      </c>
      <c r="B19" s="463"/>
      <c r="C19" s="463"/>
      <c r="D19" s="463"/>
      <c r="E19" s="463"/>
      <c r="F19" s="350"/>
      <c r="G19" s="316"/>
      <c r="H19" s="14"/>
      <c r="I19" s="13"/>
      <c r="J19" s="13"/>
    </row>
    <row r="20" spans="1:10" ht="15" customHeight="1">
      <c r="A20" s="308" t="s">
        <v>133</v>
      </c>
      <c r="B20" s="350"/>
      <c r="C20" s="350"/>
      <c r="D20" s="42"/>
      <c r="E20" s="52" t="s">
        <v>24</v>
      </c>
      <c r="F20" s="350"/>
      <c r="G20" s="316"/>
      <c r="H20" s="15"/>
      <c r="I20" s="13"/>
      <c r="J20" s="13"/>
    </row>
    <row r="21" spans="1:10" ht="15" customHeight="1">
      <c r="A21" s="308" t="s">
        <v>134</v>
      </c>
      <c r="B21" s="350"/>
      <c r="C21" s="350"/>
      <c r="D21" s="42"/>
      <c r="E21" s="52" t="s">
        <v>24</v>
      </c>
      <c r="F21" s="350"/>
      <c r="G21" s="316"/>
      <c r="H21" s="13"/>
      <c r="I21" s="13"/>
      <c r="J21" s="13"/>
    </row>
    <row r="22" spans="1:10" ht="15" customHeight="1">
      <c r="A22" s="308" t="s">
        <v>135</v>
      </c>
      <c r="B22" s="350"/>
      <c r="C22" s="350"/>
      <c r="D22" s="42"/>
      <c r="E22" s="52" t="s">
        <v>24</v>
      </c>
      <c r="F22" s="350"/>
      <c r="G22" s="316"/>
      <c r="H22" s="13"/>
      <c r="I22" s="13"/>
      <c r="J22" s="13"/>
    </row>
    <row r="23" spans="1:10" ht="15" customHeight="1">
      <c r="A23" s="308" t="s">
        <v>103</v>
      </c>
      <c r="B23" s="350"/>
      <c r="C23" s="350"/>
      <c r="D23" s="42"/>
      <c r="E23" s="52" t="s">
        <v>102</v>
      </c>
      <c r="F23" s="350"/>
      <c r="G23" s="316"/>
      <c r="H23" s="13"/>
      <c r="I23" s="13"/>
      <c r="J23" s="13"/>
    </row>
    <row r="24" spans="1:10" ht="15" customHeight="1">
      <c r="A24" s="308" t="s">
        <v>136</v>
      </c>
      <c r="B24" s="350"/>
      <c r="C24" s="350"/>
      <c r="D24" s="42"/>
      <c r="E24" s="52" t="s">
        <v>97</v>
      </c>
      <c r="F24" s="350"/>
      <c r="G24" s="316"/>
      <c r="H24" s="13"/>
      <c r="I24" s="13"/>
      <c r="J24" s="13"/>
    </row>
    <row r="25" spans="1:7" ht="15" customHeight="1">
      <c r="A25" s="308"/>
      <c r="B25" s="350"/>
      <c r="C25" s="350"/>
      <c r="D25" s="350"/>
      <c r="E25" s="350"/>
      <c r="F25" s="350"/>
      <c r="G25" s="316"/>
    </row>
    <row r="26" spans="1:7" ht="15" customHeight="1">
      <c r="A26" s="439" t="s">
        <v>140</v>
      </c>
      <c r="B26" s="377"/>
      <c r="C26" s="377"/>
      <c r="D26" s="377"/>
      <c r="E26" s="377"/>
      <c r="F26" s="350"/>
      <c r="G26" s="316"/>
    </row>
    <row r="27" spans="1:7" ht="15" customHeight="1">
      <c r="A27" s="308" t="s">
        <v>511</v>
      </c>
      <c r="B27" s="350"/>
      <c r="C27" s="350"/>
      <c r="D27" s="42"/>
      <c r="E27" s="52" t="s">
        <v>97</v>
      </c>
      <c r="F27" s="350"/>
      <c r="G27" s="316"/>
    </row>
    <row r="28" spans="1:7" ht="15" customHeight="1">
      <c r="A28" s="308" t="s">
        <v>512</v>
      </c>
      <c r="B28" s="350"/>
      <c r="C28" s="350"/>
      <c r="D28" s="42"/>
      <c r="E28" s="52" t="s">
        <v>97</v>
      </c>
      <c r="F28" s="350"/>
      <c r="G28" s="316"/>
    </row>
    <row r="29" spans="1:7" ht="15" customHeight="1">
      <c r="A29" s="308" t="s">
        <v>105</v>
      </c>
      <c r="B29" s="350"/>
      <c r="C29" s="350"/>
      <c r="D29" s="42"/>
      <c r="E29" s="52" t="s">
        <v>97</v>
      </c>
      <c r="F29" s="350"/>
      <c r="G29" s="316"/>
    </row>
    <row r="30" spans="1:7" ht="15" customHeight="1">
      <c r="A30" s="308" t="s">
        <v>103</v>
      </c>
      <c r="B30" s="350"/>
      <c r="C30" s="350"/>
      <c r="D30" s="42"/>
      <c r="E30" s="52" t="s">
        <v>102</v>
      </c>
      <c r="F30" s="350"/>
      <c r="G30" s="316"/>
    </row>
    <row r="31" spans="1:7" ht="15" customHeight="1">
      <c r="A31" s="308" t="s">
        <v>106</v>
      </c>
      <c r="B31" s="350"/>
      <c r="C31" s="350"/>
      <c r="D31" s="56">
        <f>((D27/2)^2*PI()*2)+(D27*PI()*D28)</f>
        <v>0</v>
      </c>
      <c r="E31" s="52" t="s">
        <v>24</v>
      </c>
      <c r="F31" s="350"/>
      <c r="G31" s="316"/>
    </row>
    <row r="32" spans="1:7" ht="15" customHeight="1">
      <c r="A32" s="308" t="s">
        <v>107</v>
      </c>
      <c r="B32" s="350"/>
      <c r="C32" s="350"/>
      <c r="D32" s="56">
        <f>(D27/2)^2*PI()*D28</f>
        <v>0</v>
      </c>
      <c r="E32" s="52" t="s">
        <v>110</v>
      </c>
      <c r="F32" s="350"/>
      <c r="G32" s="316"/>
    </row>
    <row r="33" spans="1:7" ht="15" customHeight="1">
      <c r="A33" s="308" t="s">
        <v>108</v>
      </c>
      <c r="B33" s="350"/>
      <c r="C33" s="350"/>
      <c r="D33" s="56">
        <f>IF(ISERROR(1/((D29/D30)+0.13)),0,1/((D29/D30)+0.13))</f>
        <v>0</v>
      </c>
      <c r="E33" s="52" t="s">
        <v>109</v>
      </c>
      <c r="F33" s="350"/>
      <c r="G33" s="316"/>
    </row>
    <row r="34" spans="1:7" ht="15" customHeight="1">
      <c r="A34" s="308" t="s">
        <v>111</v>
      </c>
      <c r="B34" s="350"/>
      <c r="C34" s="350"/>
      <c r="D34" s="88">
        <f>IF(ISERROR((D31*D33*(1+(0.05/D32)))),0,(D31*D33*(1+(0.05/D32))))</f>
        <v>0</v>
      </c>
      <c r="E34" s="74" t="s">
        <v>5</v>
      </c>
      <c r="F34" s="350"/>
      <c r="G34" s="316"/>
    </row>
    <row r="35" spans="1:7" ht="15" customHeight="1">
      <c r="A35" s="308" t="s">
        <v>112</v>
      </c>
      <c r="B35" s="350"/>
      <c r="C35" s="350"/>
      <c r="D35" s="56">
        <f>(((D27-(2*D29))/2)^2*PI()*(D28-(2*D29)))*1000</f>
        <v>0</v>
      </c>
      <c r="E35" s="52" t="s">
        <v>77</v>
      </c>
      <c r="F35" s="350"/>
      <c r="G35" s="316"/>
    </row>
    <row r="36" spans="1:7" ht="15" customHeight="1" thickBot="1">
      <c r="A36" s="341" t="s">
        <v>279</v>
      </c>
      <c r="B36" s="342"/>
      <c r="C36" s="342"/>
      <c r="D36" s="87">
        <f>IF($D$35&lt;&gt;0,$D$34/$D$35,0)</f>
        <v>0</v>
      </c>
      <c r="E36" s="63" t="s">
        <v>113</v>
      </c>
      <c r="F36" s="342"/>
      <c r="G36" s="315"/>
    </row>
    <row r="37" spans="1:7" ht="15" customHeight="1" thickBot="1">
      <c r="A37" s="381"/>
      <c r="B37" s="382"/>
      <c r="C37" s="382"/>
      <c r="D37" s="382"/>
      <c r="E37" s="382"/>
      <c r="F37" s="382"/>
      <c r="G37" s="383"/>
    </row>
    <row r="38" spans="1:10" ht="15" customHeight="1" thickBot="1">
      <c r="A38" s="451" t="s">
        <v>148</v>
      </c>
      <c r="B38" s="452"/>
      <c r="C38" s="452"/>
      <c r="D38" s="452"/>
      <c r="E38" s="437"/>
      <c r="F38" s="437"/>
      <c r="G38" s="438"/>
      <c r="H38" s="15"/>
      <c r="I38" s="13"/>
      <c r="J38" s="13"/>
    </row>
    <row r="39" spans="1:7" ht="15" customHeight="1">
      <c r="A39" s="464" t="s">
        <v>149</v>
      </c>
      <c r="B39" s="453" t="s">
        <v>155</v>
      </c>
      <c r="C39" s="456" t="s">
        <v>150</v>
      </c>
      <c r="D39" s="164" t="s">
        <v>151</v>
      </c>
      <c r="E39" s="172">
        <f>'Logement (1)'!$E$14</f>
        <v>0</v>
      </c>
      <c r="F39" s="164" t="s">
        <v>7</v>
      </c>
      <c r="G39" s="470"/>
    </row>
    <row r="40" spans="1:7" ht="15" customHeight="1">
      <c r="A40" s="465"/>
      <c r="B40" s="454"/>
      <c r="C40" s="457"/>
      <c r="D40" s="52" t="s">
        <v>152</v>
      </c>
      <c r="E40" s="136">
        <f>'Logement (1)'!$E$15</f>
        <v>0</v>
      </c>
      <c r="F40" s="52" t="s">
        <v>8</v>
      </c>
      <c r="G40" s="471"/>
    </row>
    <row r="41" spans="1:7" ht="15" customHeight="1">
      <c r="A41" s="465"/>
      <c r="B41" s="454"/>
      <c r="C41" s="457"/>
      <c r="D41" s="52" t="s">
        <v>271</v>
      </c>
      <c r="E41" s="109" t="e">
        <f>(1+IF($D$8="Radiateurs",0.7,1.3))/IF($D$8="Radiateurs",0.7,1.3)*E39-$D$6/IF($D$8="Radiateurs",0.7,1.3)</f>
        <v>#N/A</v>
      </c>
      <c r="F41" s="52" t="s">
        <v>7</v>
      </c>
      <c r="G41" s="471"/>
    </row>
    <row r="42" spans="1:7" ht="15" customHeight="1">
      <c r="A42" s="465"/>
      <c r="B42" s="454"/>
      <c r="C42" s="457"/>
      <c r="D42" s="52" t="s">
        <v>262</v>
      </c>
      <c r="E42" s="52" t="e">
        <f>E39-$D$7*(E39-$D$6)</f>
        <v>#N/A</v>
      </c>
      <c r="F42" s="52" t="s">
        <v>114</v>
      </c>
      <c r="G42" s="472"/>
    </row>
    <row r="43" spans="1:7" ht="15" customHeight="1">
      <c r="A43" s="465"/>
      <c r="B43" s="454"/>
      <c r="C43" s="457"/>
      <c r="D43" s="52" t="s">
        <v>263</v>
      </c>
      <c r="E43" s="56" t="e">
        <f>IF(E41&gt;E42,$D$12*$D$16*(E41-E42),0)</f>
        <v>#N/A</v>
      </c>
      <c r="F43" s="52" t="s">
        <v>114</v>
      </c>
      <c r="G43" s="173" t="e">
        <f aca="true" t="shared" si="0" ref="G43:G48">"("&amp;ROUND(E43/1000,3)&amp;" kWh)"</f>
        <v>#N/A</v>
      </c>
    </row>
    <row r="44" spans="1:7" ht="15" customHeight="1">
      <c r="A44" s="465"/>
      <c r="B44" s="454"/>
      <c r="C44" s="457"/>
      <c r="D44" s="52" t="s">
        <v>510</v>
      </c>
      <c r="E44" s="56">
        <f>IF($D$24&lt;&gt;"",(((1/($D$24/$D$23+0.13))*$D$20+(1/($D$24/$D$23+0.1))*$D$21+(1/($D$24/$D$23+0.17))*$D$22)*1.3)*IF(E41&gt;E42,(E41-E42),0),0)</f>
        <v>0</v>
      </c>
      <c r="F44" s="52" t="s">
        <v>114</v>
      </c>
      <c r="G44" s="173" t="str">
        <f t="shared" si="0"/>
        <v>(0 kWh)</v>
      </c>
    </row>
    <row r="45" spans="1:7" ht="15" customHeight="1">
      <c r="A45" s="465"/>
      <c r="B45" s="454"/>
      <c r="C45" s="457"/>
      <c r="D45" s="52" t="s">
        <v>264</v>
      </c>
      <c r="E45" s="56" t="e">
        <f>IF(E41&gt;E42,$D$35*$D$36*(E41-E42),0)</f>
        <v>#N/A</v>
      </c>
      <c r="F45" s="52" t="s">
        <v>114</v>
      </c>
      <c r="G45" s="173" t="e">
        <f t="shared" si="0"/>
        <v>#N/A</v>
      </c>
    </row>
    <row r="46" spans="1:7" ht="15" customHeight="1">
      <c r="A46" s="465"/>
      <c r="B46" s="454"/>
      <c r="C46" s="457"/>
      <c r="D46" s="133" t="s">
        <v>266</v>
      </c>
      <c r="E46" s="56" t="e">
        <f>E43+E44+E45</f>
        <v>#N/A</v>
      </c>
      <c r="F46" s="52" t="s">
        <v>114</v>
      </c>
      <c r="G46" s="173" t="e">
        <f t="shared" si="0"/>
        <v>#N/A</v>
      </c>
    </row>
    <row r="47" spans="1:7" ht="15" customHeight="1">
      <c r="A47" s="465"/>
      <c r="B47" s="454"/>
      <c r="C47" s="457"/>
      <c r="D47" s="52" t="s">
        <v>322</v>
      </c>
      <c r="E47" s="58" t="e">
        <f>E46*E40</f>
        <v>#N/A</v>
      </c>
      <c r="F47" s="57" t="s">
        <v>114</v>
      </c>
      <c r="G47" s="59" t="e">
        <f t="shared" si="0"/>
        <v>#N/A</v>
      </c>
    </row>
    <row r="48" spans="1:7" ht="15" customHeight="1" thickBot="1">
      <c r="A48" s="465"/>
      <c r="B48" s="454"/>
      <c r="C48" s="457"/>
      <c r="D48" s="89" t="s">
        <v>273</v>
      </c>
      <c r="E48" s="90" t="e">
        <f>E47*(1-$D$7)</f>
        <v>#N/A</v>
      </c>
      <c r="F48" s="174" t="s">
        <v>114</v>
      </c>
      <c r="G48" s="175" t="e">
        <f t="shared" si="0"/>
        <v>#N/A</v>
      </c>
    </row>
    <row r="49" spans="1:7" ht="15" customHeight="1">
      <c r="A49" s="465"/>
      <c r="B49" s="454"/>
      <c r="C49" s="309" t="s">
        <v>154</v>
      </c>
      <c r="D49" s="164" t="s">
        <v>151</v>
      </c>
      <c r="E49" s="172">
        <f>'Logement (1)'!$E$16</f>
        <v>0</v>
      </c>
      <c r="F49" s="164" t="s">
        <v>7</v>
      </c>
      <c r="G49" s="379"/>
    </row>
    <row r="50" spans="1:7" ht="15" customHeight="1">
      <c r="A50" s="465"/>
      <c r="B50" s="454"/>
      <c r="C50" s="310"/>
      <c r="D50" s="52" t="s">
        <v>152</v>
      </c>
      <c r="E50" s="74">
        <f>24-E40</f>
        <v>24</v>
      </c>
      <c r="F50" s="52" t="s">
        <v>8</v>
      </c>
      <c r="G50" s="380"/>
    </row>
    <row r="51" spans="1:7" ht="15" customHeight="1">
      <c r="A51" s="465"/>
      <c r="B51" s="454"/>
      <c r="C51" s="310"/>
      <c r="D51" s="52" t="s">
        <v>271</v>
      </c>
      <c r="E51" s="109" t="e">
        <f>(1+IF($D$8="Radiateurs",0.7,1.3))/IF($D$8="Radiateurs",0.7,1.3)*E49-$D$6/IF($D$8="Radiateurs",0.7,1.3)</f>
        <v>#N/A</v>
      </c>
      <c r="F51" s="52" t="s">
        <v>7</v>
      </c>
      <c r="G51" s="380"/>
    </row>
    <row r="52" spans="1:7" ht="15" customHeight="1">
      <c r="A52" s="465"/>
      <c r="B52" s="454"/>
      <c r="C52" s="310"/>
      <c r="D52" s="52" t="s">
        <v>262</v>
      </c>
      <c r="E52" s="52" t="e">
        <f>E49-$D$7*(E49-$D$6)</f>
        <v>#N/A</v>
      </c>
      <c r="F52" s="52" t="s">
        <v>114</v>
      </c>
      <c r="G52" s="173" t="e">
        <f>"("&amp;ROUND(E52/1000,3)&amp;" kWh)"</f>
        <v>#N/A</v>
      </c>
    </row>
    <row r="53" spans="1:7" ht="15" customHeight="1">
      <c r="A53" s="465"/>
      <c r="B53" s="454"/>
      <c r="C53" s="310"/>
      <c r="D53" s="52" t="s">
        <v>263</v>
      </c>
      <c r="E53" s="56" t="e">
        <f>IF(E51&gt;E52,$D$12*$D$16*(E51-E52),0)</f>
        <v>#N/A</v>
      </c>
      <c r="F53" s="52" t="s">
        <v>114</v>
      </c>
      <c r="G53" s="173" t="e">
        <f aca="true" t="shared" si="1" ref="G53:G59">"("&amp;ROUND(E53/1000,3)&amp;" kWh)"</f>
        <v>#N/A</v>
      </c>
    </row>
    <row r="54" spans="1:7" ht="15" customHeight="1">
      <c r="A54" s="465"/>
      <c r="B54" s="454"/>
      <c r="C54" s="310"/>
      <c r="D54" s="52" t="s">
        <v>510</v>
      </c>
      <c r="E54" s="56">
        <f>IF($D$24&lt;&gt;"",(((1/($D$24/$D$23+0.13))*$D$20+(1/($D$24/$D$23+0.1))*$D$21+(1/($D$24/$D$23+0.17))*$D$22)*1.3)*IF(E51&gt;E52,(E51-E52),0),0)</f>
        <v>0</v>
      </c>
      <c r="F54" s="52" t="s">
        <v>114</v>
      </c>
      <c r="G54" s="173" t="str">
        <f t="shared" si="1"/>
        <v>(0 kWh)</v>
      </c>
    </row>
    <row r="55" spans="1:7" ht="15" customHeight="1">
      <c r="A55" s="465"/>
      <c r="B55" s="454"/>
      <c r="C55" s="310"/>
      <c r="D55" s="52" t="s">
        <v>264</v>
      </c>
      <c r="E55" s="56" t="e">
        <f>IF(E51&gt;E52,$D$35*$D$36*(E51-E52),0)</f>
        <v>#N/A</v>
      </c>
      <c r="F55" s="52" t="s">
        <v>114</v>
      </c>
      <c r="G55" s="173" t="e">
        <f t="shared" si="1"/>
        <v>#N/A</v>
      </c>
    </row>
    <row r="56" spans="1:7" ht="15" customHeight="1">
      <c r="A56" s="465"/>
      <c r="B56" s="454"/>
      <c r="C56" s="310"/>
      <c r="D56" s="133" t="s">
        <v>266</v>
      </c>
      <c r="E56" s="56" t="e">
        <f>E53+E54+E55</f>
        <v>#N/A</v>
      </c>
      <c r="F56" s="52" t="s">
        <v>114</v>
      </c>
      <c r="G56" s="173" t="e">
        <f t="shared" si="1"/>
        <v>#N/A</v>
      </c>
    </row>
    <row r="57" spans="1:7" ht="15" customHeight="1">
      <c r="A57" s="465"/>
      <c r="B57" s="454"/>
      <c r="C57" s="458"/>
      <c r="D57" s="52" t="s">
        <v>322</v>
      </c>
      <c r="E57" s="58" t="e">
        <f>E56*E50</f>
        <v>#N/A</v>
      </c>
      <c r="F57" s="57" t="s">
        <v>114</v>
      </c>
      <c r="G57" s="59" t="e">
        <f>"("&amp;ROUND(E57/1000,3)&amp;" kWh)"</f>
        <v>#N/A</v>
      </c>
    </row>
    <row r="58" spans="1:7" ht="15" customHeight="1" thickBot="1">
      <c r="A58" s="465"/>
      <c r="B58" s="455"/>
      <c r="C58" s="304"/>
      <c r="D58" s="89" t="s">
        <v>273</v>
      </c>
      <c r="E58" s="91" t="e">
        <f>E57*(1-$D$7)</f>
        <v>#N/A</v>
      </c>
      <c r="F58" s="174" t="s">
        <v>114</v>
      </c>
      <c r="G58" s="204" t="e">
        <f>"("&amp;ROUND(E58/1000,3)&amp;" kWh)"</f>
        <v>#N/A</v>
      </c>
    </row>
    <row r="59" spans="1:7" ht="15" customHeight="1">
      <c r="A59" s="465"/>
      <c r="B59" s="459" t="s">
        <v>265</v>
      </c>
      <c r="C59" s="285"/>
      <c r="D59" s="285"/>
      <c r="E59" s="205" t="e">
        <f>E47+E57</f>
        <v>#N/A</v>
      </c>
      <c r="F59" s="206" t="s">
        <v>114</v>
      </c>
      <c r="G59" s="207" t="e">
        <f t="shared" si="1"/>
        <v>#N/A</v>
      </c>
    </row>
    <row r="60" spans="1:7" ht="15" customHeight="1" thickBot="1">
      <c r="A60" s="466"/>
      <c r="B60" s="467" t="s">
        <v>274</v>
      </c>
      <c r="C60" s="468"/>
      <c r="D60" s="469"/>
      <c r="E60" s="76" t="e">
        <f>E59*(1-$D$7)</f>
        <v>#N/A</v>
      </c>
      <c r="F60" s="174" t="s">
        <v>114</v>
      </c>
      <c r="G60" s="175" t="e">
        <f>"("&amp;ROUND(E60/1000,3)&amp;" kWh)"</f>
        <v>#N/A</v>
      </c>
    </row>
    <row r="61" spans="1:7" s="32" customFormat="1" ht="15" customHeight="1">
      <c r="A61" s="464" t="s">
        <v>156</v>
      </c>
      <c r="B61" s="453" t="s">
        <v>155</v>
      </c>
      <c r="C61" s="456" t="s">
        <v>150</v>
      </c>
      <c r="D61" s="164" t="s">
        <v>151</v>
      </c>
      <c r="E61" s="172">
        <f>'Logement (1)'!$E$18</f>
        <v>0</v>
      </c>
      <c r="F61" s="164" t="s">
        <v>7</v>
      </c>
      <c r="G61" s="470"/>
    </row>
    <row r="62" spans="1:7" s="32" customFormat="1" ht="15" customHeight="1">
      <c r="A62" s="465"/>
      <c r="B62" s="454"/>
      <c r="C62" s="457"/>
      <c r="D62" s="52" t="s">
        <v>152</v>
      </c>
      <c r="E62" s="136">
        <f>'Logement (1)'!$E$19</f>
        <v>0</v>
      </c>
      <c r="F62" s="52" t="s">
        <v>8</v>
      </c>
      <c r="G62" s="471"/>
    </row>
    <row r="63" spans="1:7" s="32" customFormat="1" ht="15" customHeight="1">
      <c r="A63" s="465"/>
      <c r="B63" s="454"/>
      <c r="C63" s="457"/>
      <c r="D63" s="52" t="s">
        <v>271</v>
      </c>
      <c r="E63" s="109" t="e">
        <f>(1+IF($D$8="Radiateurs",0.7,1.3))/IF($D$8="Radiateurs",0.7,1.3)*E61-$D$6/IF($D$8="Radiateurs",0.7,1.3)</f>
        <v>#N/A</v>
      </c>
      <c r="F63" s="52" t="s">
        <v>7</v>
      </c>
      <c r="G63" s="471"/>
    </row>
    <row r="64" spans="1:7" s="32" customFormat="1" ht="15" customHeight="1">
      <c r="A64" s="465"/>
      <c r="B64" s="454"/>
      <c r="C64" s="457"/>
      <c r="D64" s="52" t="s">
        <v>262</v>
      </c>
      <c r="E64" s="52" t="e">
        <f>E61-$D$7*(E61-$D$6)</f>
        <v>#N/A</v>
      </c>
      <c r="F64" s="52" t="s">
        <v>114</v>
      </c>
      <c r="G64" s="472"/>
    </row>
    <row r="65" spans="1:7" s="32" customFormat="1" ht="15" customHeight="1">
      <c r="A65" s="465"/>
      <c r="B65" s="454"/>
      <c r="C65" s="457"/>
      <c r="D65" s="52" t="s">
        <v>263</v>
      </c>
      <c r="E65" s="56" t="e">
        <f>IF(E63&gt;E64,$D$12*$D$16*(E63-E64),0)</f>
        <v>#N/A</v>
      </c>
      <c r="F65" s="52" t="s">
        <v>114</v>
      </c>
      <c r="G65" s="173" t="e">
        <f aca="true" t="shared" si="2" ref="G65:G70">"("&amp;ROUND(E65/1000,3)&amp;" kWh)"</f>
        <v>#N/A</v>
      </c>
    </row>
    <row r="66" spans="1:7" s="32" customFormat="1" ht="15" customHeight="1">
      <c r="A66" s="465"/>
      <c r="B66" s="454"/>
      <c r="C66" s="457"/>
      <c r="D66" s="52" t="s">
        <v>510</v>
      </c>
      <c r="E66" s="56">
        <f>IF($D$24&lt;&gt;"",(((1/($D$24/$D$23+0.13))*$D$20+(1/($D$24/$D$23+0.1))*$D$21+(1/($D$24/$D$23+0.17))*$D$22)*1.3)*IF(E63&gt;E64,(E63-E64),0),0)</f>
        <v>0</v>
      </c>
      <c r="F66" s="52" t="s">
        <v>114</v>
      </c>
      <c r="G66" s="173" t="str">
        <f t="shared" si="2"/>
        <v>(0 kWh)</v>
      </c>
    </row>
    <row r="67" spans="1:7" s="32" customFormat="1" ht="15" customHeight="1">
      <c r="A67" s="465"/>
      <c r="B67" s="454"/>
      <c r="C67" s="457"/>
      <c r="D67" s="52" t="s">
        <v>264</v>
      </c>
      <c r="E67" s="56" t="e">
        <f>IF(E63&gt;E64,$D$35*$D$36*(E63-E64),0)</f>
        <v>#N/A</v>
      </c>
      <c r="F67" s="52" t="s">
        <v>114</v>
      </c>
      <c r="G67" s="173" t="e">
        <f t="shared" si="2"/>
        <v>#N/A</v>
      </c>
    </row>
    <row r="68" spans="1:7" s="32" customFormat="1" ht="15" customHeight="1">
      <c r="A68" s="465"/>
      <c r="B68" s="454"/>
      <c r="C68" s="457"/>
      <c r="D68" s="133" t="s">
        <v>266</v>
      </c>
      <c r="E68" s="56" t="e">
        <f>E65+E66+E67</f>
        <v>#N/A</v>
      </c>
      <c r="F68" s="52" t="s">
        <v>114</v>
      </c>
      <c r="G68" s="173" t="e">
        <f t="shared" si="2"/>
        <v>#N/A</v>
      </c>
    </row>
    <row r="69" spans="1:7" s="32" customFormat="1" ht="15" customHeight="1">
      <c r="A69" s="465"/>
      <c r="B69" s="454"/>
      <c r="C69" s="457"/>
      <c r="D69" s="52" t="s">
        <v>322</v>
      </c>
      <c r="E69" s="58" t="e">
        <f>E68*E62</f>
        <v>#N/A</v>
      </c>
      <c r="F69" s="57" t="s">
        <v>114</v>
      </c>
      <c r="G69" s="59" t="e">
        <f t="shared" si="2"/>
        <v>#N/A</v>
      </c>
    </row>
    <row r="70" spans="1:7" s="32" customFormat="1" ht="15" customHeight="1" thickBot="1">
      <c r="A70" s="465"/>
      <c r="B70" s="454"/>
      <c r="C70" s="457"/>
      <c r="D70" s="89" t="s">
        <v>273</v>
      </c>
      <c r="E70" s="90" t="e">
        <f>E69*(1-$D$7)</f>
        <v>#N/A</v>
      </c>
      <c r="F70" s="174" t="s">
        <v>114</v>
      </c>
      <c r="G70" s="175" t="e">
        <f t="shared" si="2"/>
        <v>#N/A</v>
      </c>
    </row>
    <row r="71" spans="1:7" s="32" customFormat="1" ht="15" customHeight="1">
      <c r="A71" s="465"/>
      <c r="B71" s="454"/>
      <c r="C71" s="309" t="s">
        <v>154</v>
      </c>
      <c r="D71" s="164" t="s">
        <v>151</v>
      </c>
      <c r="E71" s="172">
        <f>'Logement (1)'!$E$20</f>
        <v>0</v>
      </c>
      <c r="F71" s="164" t="s">
        <v>7</v>
      </c>
      <c r="G71" s="379"/>
    </row>
    <row r="72" spans="1:7" s="32" customFormat="1" ht="15" customHeight="1">
      <c r="A72" s="465"/>
      <c r="B72" s="454"/>
      <c r="C72" s="310"/>
      <c r="D72" s="52" t="s">
        <v>152</v>
      </c>
      <c r="E72" s="74">
        <f>24-E62</f>
        <v>24</v>
      </c>
      <c r="F72" s="52" t="s">
        <v>8</v>
      </c>
      <c r="G72" s="380"/>
    </row>
    <row r="73" spans="1:7" s="32" customFormat="1" ht="15" customHeight="1">
      <c r="A73" s="465"/>
      <c r="B73" s="454"/>
      <c r="C73" s="310"/>
      <c r="D73" s="52" t="s">
        <v>271</v>
      </c>
      <c r="E73" s="109" t="e">
        <f>(1+IF($D$8="Radiateurs",0.7,1.3))/IF($D$8="Radiateurs",0.7,1.3)*E71-$D$6/IF($D$8="Radiateurs",0.7,1.3)</f>
        <v>#N/A</v>
      </c>
      <c r="F73" s="52" t="s">
        <v>7</v>
      </c>
      <c r="G73" s="380"/>
    </row>
    <row r="74" spans="1:7" s="32" customFormat="1" ht="15" customHeight="1">
      <c r="A74" s="465"/>
      <c r="B74" s="454"/>
      <c r="C74" s="310"/>
      <c r="D74" s="52" t="s">
        <v>262</v>
      </c>
      <c r="E74" s="52" t="e">
        <f>E71-$D$7*(E71-$D$6)</f>
        <v>#N/A</v>
      </c>
      <c r="F74" s="52" t="s">
        <v>114</v>
      </c>
      <c r="G74" s="173" t="e">
        <f aca="true" t="shared" si="3" ref="G74:G82">"("&amp;ROUND(E74/1000,3)&amp;" kWh)"</f>
        <v>#N/A</v>
      </c>
    </row>
    <row r="75" spans="1:7" s="32" customFormat="1" ht="15" customHeight="1">
      <c r="A75" s="465"/>
      <c r="B75" s="454"/>
      <c r="C75" s="310"/>
      <c r="D75" s="52" t="s">
        <v>263</v>
      </c>
      <c r="E75" s="56" t="e">
        <f>IF(E73&gt;E74,$D$12*$D$16*(E73-E74),0)</f>
        <v>#N/A</v>
      </c>
      <c r="F75" s="52" t="s">
        <v>114</v>
      </c>
      <c r="G75" s="173" t="e">
        <f t="shared" si="3"/>
        <v>#N/A</v>
      </c>
    </row>
    <row r="76" spans="1:7" s="32" customFormat="1" ht="15" customHeight="1">
      <c r="A76" s="465"/>
      <c r="B76" s="454"/>
      <c r="C76" s="310"/>
      <c r="D76" s="52" t="s">
        <v>510</v>
      </c>
      <c r="E76" s="56">
        <f>IF($D$24&lt;&gt;"",(((1/($D$24/$D$23+0.13))*$D$20+(1/($D$24/$D$23+0.1))*$D$21+(1/($D$24/$D$23+0.17))*$D$22)*1.3)*IF(E73&gt;E74,(E73-E74),0),0)</f>
        <v>0</v>
      </c>
      <c r="F76" s="52" t="s">
        <v>114</v>
      </c>
      <c r="G76" s="173" t="str">
        <f t="shared" si="3"/>
        <v>(0 kWh)</v>
      </c>
    </row>
    <row r="77" spans="1:7" s="32" customFormat="1" ht="15" customHeight="1">
      <c r="A77" s="465"/>
      <c r="B77" s="454"/>
      <c r="C77" s="310"/>
      <c r="D77" s="52" t="s">
        <v>264</v>
      </c>
      <c r="E77" s="56" t="e">
        <f>IF(E73&gt;E74,$D$35*$D$36*(E73-E74),0)</f>
        <v>#N/A</v>
      </c>
      <c r="F77" s="52" t="s">
        <v>114</v>
      </c>
      <c r="G77" s="173" t="e">
        <f t="shared" si="3"/>
        <v>#N/A</v>
      </c>
    </row>
    <row r="78" spans="1:7" s="32" customFormat="1" ht="15" customHeight="1">
      <c r="A78" s="465"/>
      <c r="B78" s="454"/>
      <c r="C78" s="310"/>
      <c r="D78" s="133" t="s">
        <v>266</v>
      </c>
      <c r="E78" s="56" t="e">
        <f>E75+E76+E77</f>
        <v>#N/A</v>
      </c>
      <c r="F78" s="52" t="s">
        <v>114</v>
      </c>
      <c r="G78" s="173" t="e">
        <f t="shared" si="3"/>
        <v>#N/A</v>
      </c>
    </row>
    <row r="79" spans="1:7" s="32" customFormat="1" ht="15" customHeight="1">
      <c r="A79" s="465"/>
      <c r="B79" s="454"/>
      <c r="C79" s="458"/>
      <c r="D79" s="52" t="s">
        <v>322</v>
      </c>
      <c r="E79" s="58" t="e">
        <f>E78*E72</f>
        <v>#N/A</v>
      </c>
      <c r="F79" s="57" t="s">
        <v>114</v>
      </c>
      <c r="G79" s="59" t="e">
        <f t="shared" si="3"/>
        <v>#N/A</v>
      </c>
    </row>
    <row r="80" spans="1:7" s="32" customFormat="1" ht="15" customHeight="1" thickBot="1">
      <c r="A80" s="465"/>
      <c r="B80" s="455"/>
      <c r="C80" s="304"/>
      <c r="D80" s="89" t="s">
        <v>273</v>
      </c>
      <c r="E80" s="91" t="e">
        <f>E79*(1-$D$7)</f>
        <v>#N/A</v>
      </c>
      <c r="F80" s="174" t="s">
        <v>114</v>
      </c>
      <c r="G80" s="204" t="e">
        <f t="shared" si="3"/>
        <v>#N/A</v>
      </c>
    </row>
    <row r="81" spans="1:7" s="32" customFormat="1" ht="15" customHeight="1">
      <c r="A81" s="465"/>
      <c r="B81" s="459" t="s">
        <v>265</v>
      </c>
      <c r="C81" s="285"/>
      <c r="D81" s="285"/>
      <c r="E81" s="205" t="e">
        <f>E69+E79</f>
        <v>#N/A</v>
      </c>
      <c r="F81" s="206" t="s">
        <v>114</v>
      </c>
      <c r="G81" s="207" t="e">
        <f t="shared" si="3"/>
        <v>#N/A</v>
      </c>
    </row>
    <row r="82" spans="1:7" s="32" customFormat="1" ht="15" customHeight="1" thickBot="1">
      <c r="A82" s="466"/>
      <c r="B82" s="467" t="s">
        <v>274</v>
      </c>
      <c r="C82" s="468"/>
      <c r="D82" s="469"/>
      <c r="E82" s="76" t="e">
        <f>E81*(1-$D$7)</f>
        <v>#N/A</v>
      </c>
      <c r="F82" s="174" t="s">
        <v>114</v>
      </c>
      <c r="G82" s="175" t="e">
        <f t="shared" si="3"/>
        <v>#N/A</v>
      </c>
    </row>
    <row r="83" spans="1:7" s="32" customFormat="1" ht="15" customHeight="1">
      <c r="A83" s="464" t="s">
        <v>157</v>
      </c>
      <c r="B83" s="453" t="s">
        <v>155</v>
      </c>
      <c r="C83" s="456" t="s">
        <v>150</v>
      </c>
      <c r="D83" s="164" t="s">
        <v>151</v>
      </c>
      <c r="E83" s="172">
        <f>'Logement (1)'!$E$22</f>
        <v>0</v>
      </c>
      <c r="F83" s="164" t="s">
        <v>7</v>
      </c>
      <c r="G83" s="470"/>
    </row>
    <row r="84" spans="1:7" s="32" customFormat="1" ht="15" customHeight="1">
      <c r="A84" s="465"/>
      <c r="B84" s="454"/>
      <c r="C84" s="457"/>
      <c r="D84" s="52" t="s">
        <v>152</v>
      </c>
      <c r="E84" s="136">
        <f>'Logement (1)'!$E$23</f>
        <v>0</v>
      </c>
      <c r="F84" s="52" t="s">
        <v>8</v>
      </c>
      <c r="G84" s="471"/>
    </row>
    <row r="85" spans="1:7" s="32" customFormat="1" ht="15" customHeight="1">
      <c r="A85" s="465"/>
      <c r="B85" s="454"/>
      <c r="C85" s="457"/>
      <c r="D85" s="52" t="s">
        <v>271</v>
      </c>
      <c r="E85" s="109" t="e">
        <f>(1+IF($D$8="Radiateurs",0.7,1.3))/IF($D$8="Radiateurs",0.7,1.3)*E83-$D$6/IF($D$8="Radiateurs",0.7,1.3)</f>
        <v>#N/A</v>
      </c>
      <c r="F85" s="52" t="s">
        <v>7</v>
      </c>
      <c r="G85" s="471"/>
    </row>
    <row r="86" spans="1:7" s="32" customFormat="1" ht="15" customHeight="1">
      <c r="A86" s="465"/>
      <c r="B86" s="454"/>
      <c r="C86" s="457"/>
      <c r="D86" s="52" t="s">
        <v>262</v>
      </c>
      <c r="E86" s="52" t="e">
        <f>E83-$D$7*(E83-$D$6)</f>
        <v>#N/A</v>
      </c>
      <c r="F86" s="52" t="s">
        <v>114</v>
      </c>
      <c r="G86" s="472"/>
    </row>
    <row r="87" spans="1:7" s="32" customFormat="1" ht="15" customHeight="1">
      <c r="A87" s="465"/>
      <c r="B87" s="454"/>
      <c r="C87" s="457"/>
      <c r="D87" s="52" t="s">
        <v>263</v>
      </c>
      <c r="E87" s="56" t="e">
        <f>IF(E85&gt;E86,$D$12*$D$16*(E85-E86),0)</f>
        <v>#N/A</v>
      </c>
      <c r="F87" s="52" t="s">
        <v>114</v>
      </c>
      <c r="G87" s="173" t="e">
        <f aca="true" t="shared" si="4" ref="G87:G92">"("&amp;ROUND(E87/1000,3)&amp;" kWh)"</f>
        <v>#N/A</v>
      </c>
    </row>
    <row r="88" spans="1:7" s="32" customFormat="1" ht="15" customHeight="1">
      <c r="A88" s="465"/>
      <c r="B88" s="454"/>
      <c r="C88" s="457"/>
      <c r="D88" s="52" t="s">
        <v>510</v>
      </c>
      <c r="E88" s="56">
        <f>IF($D$24&lt;&gt;"",(((1/($D$24/$D$23+0.13))*$D$20+(1/($D$24/$D$23+0.1))*$D$21+(1/($D$24/$D$23+0.17))*$D$22)*1.3)*IF(E85&gt;E86,(E85-E86),0),0)</f>
        <v>0</v>
      </c>
      <c r="F88" s="52" t="s">
        <v>114</v>
      </c>
      <c r="G88" s="173" t="str">
        <f t="shared" si="4"/>
        <v>(0 kWh)</v>
      </c>
    </row>
    <row r="89" spans="1:7" s="32" customFormat="1" ht="15" customHeight="1">
      <c r="A89" s="465"/>
      <c r="B89" s="454"/>
      <c r="C89" s="457"/>
      <c r="D89" s="52" t="s">
        <v>264</v>
      </c>
      <c r="E89" s="56" t="e">
        <f>IF(E85&gt;E86,$D$35*$D$36*(E85-E86),0)</f>
        <v>#N/A</v>
      </c>
      <c r="F89" s="52" t="s">
        <v>114</v>
      </c>
      <c r="G89" s="173" t="e">
        <f t="shared" si="4"/>
        <v>#N/A</v>
      </c>
    </row>
    <row r="90" spans="1:7" s="32" customFormat="1" ht="15" customHeight="1">
      <c r="A90" s="465"/>
      <c r="B90" s="454"/>
      <c r="C90" s="457"/>
      <c r="D90" s="133" t="s">
        <v>266</v>
      </c>
      <c r="E90" s="56" t="e">
        <f>E87+E88+E89</f>
        <v>#N/A</v>
      </c>
      <c r="F90" s="52" t="s">
        <v>114</v>
      </c>
      <c r="G90" s="173" t="e">
        <f t="shared" si="4"/>
        <v>#N/A</v>
      </c>
    </row>
    <row r="91" spans="1:7" s="32" customFormat="1" ht="15" customHeight="1">
      <c r="A91" s="465"/>
      <c r="B91" s="454"/>
      <c r="C91" s="457"/>
      <c r="D91" s="52" t="s">
        <v>322</v>
      </c>
      <c r="E91" s="58" t="e">
        <f>E90*E84</f>
        <v>#N/A</v>
      </c>
      <c r="F91" s="57" t="s">
        <v>114</v>
      </c>
      <c r="G91" s="59" t="e">
        <f t="shared" si="4"/>
        <v>#N/A</v>
      </c>
    </row>
    <row r="92" spans="1:7" s="32" customFormat="1" ht="15" customHeight="1" thickBot="1">
      <c r="A92" s="465"/>
      <c r="B92" s="454"/>
      <c r="C92" s="457"/>
      <c r="D92" s="89" t="s">
        <v>273</v>
      </c>
      <c r="E92" s="90" t="e">
        <f>E91*(1-$D$7)</f>
        <v>#N/A</v>
      </c>
      <c r="F92" s="174" t="s">
        <v>114</v>
      </c>
      <c r="G92" s="175" t="e">
        <f t="shared" si="4"/>
        <v>#N/A</v>
      </c>
    </row>
    <row r="93" spans="1:7" s="32" customFormat="1" ht="15" customHeight="1">
      <c r="A93" s="465"/>
      <c r="B93" s="454"/>
      <c r="C93" s="309" t="s">
        <v>154</v>
      </c>
      <c r="D93" s="164" t="s">
        <v>151</v>
      </c>
      <c r="E93" s="172">
        <f>'Logement (1)'!$E$24</f>
        <v>0</v>
      </c>
      <c r="F93" s="164" t="s">
        <v>7</v>
      </c>
      <c r="G93" s="379"/>
    </row>
    <row r="94" spans="1:7" s="32" customFormat="1" ht="15" customHeight="1">
      <c r="A94" s="465"/>
      <c r="B94" s="454"/>
      <c r="C94" s="310"/>
      <c r="D94" s="52" t="s">
        <v>152</v>
      </c>
      <c r="E94" s="74">
        <f>24-E84</f>
        <v>24</v>
      </c>
      <c r="F94" s="52" t="s">
        <v>8</v>
      </c>
      <c r="G94" s="380"/>
    </row>
    <row r="95" spans="1:7" s="32" customFormat="1" ht="15" customHeight="1">
      <c r="A95" s="465"/>
      <c r="B95" s="454"/>
      <c r="C95" s="310"/>
      <c r="D95" s="52" t="s">
        <v>271</v>
      </c>
      <c r="E95" s="109" t="e">
        <f>(1+IF($D$8="Radiateurs",0.7,1.3))/IF($D$8="Radiateurs",0.7,1.3)*E93-$D$6/IF($D$8="Radiateurs",0.7,1.3)</f>
        <v>#N/A</v>
      </c>
      <c r="F95" s="52" t="s">
        <v>7</v>
      </c>
      <c r="G95" s="380"/>
    </row>
    <row r="96" spans="1:7" s="32" customFormat="1" ht="15" customHeight="1">
      <c r="A96" s="465"/>
      <c r="B96" s="454"/>
      <c r="C96" s="310"/>
      <c r="D96" s="52" t="s">
        <v>262</v>
      </c>
      <c r="E96" s="52" t="e">
        <f>E93-$D$7*(E93-$D$6)</f>
        <v>#N/A</v>
      </c>
      <c r="F96" s="52" t="s">
        <v>114</v>
      </c>
      <c r="G96" s="173" t="e">
        <f aca="true" t="shared" si="5" ref="G96:G104">"("&amp;ROUND(E96/1000,3)&amp;" kWh)"</f>
        <v>#N/A</v>
      </c>
    </row>
    <row r="97" spans="1:7" s="32" customFormat="1" ht="15" customHeight="1">
      <c r="A97" s="465"/>
      <c r="B97" s="454"/>
      <c r="C97" s="310"/>
      <c r="D97" s="52" t="s">
        <v>263</v>
      </c>
      <c r="E97" s="56" t="e">
        <f>IF(E95&gt;E96,$D$12*$D$16*(E95-E96),0)</f>
        <v>#N/A</v>
      </c>
      <c r="F97" s="52" t="s">
        <v>114</v>
      </c>
      <c r="G97" s="173" t="e">
        <f t="shared" si="5"/>
        <v>#N/A</v>
      </c>
    </row>
    <row r="98" spans="1:7" s="32" customFormat="1" ht="15" customHeight="1">
      <c r="A98" s="465"/>
      <c r="B98" s="454"/>
      <c r="C98" s="310"/>
      <c r="D98" s="52" t="s">
        <v>510</v>
      </c>
      <c r="E98" s="56">
        <f>IF($D$24&lt;&gt;"",(((1/($D$24/$D$23+0.13))*$D$20+(1/($D$24/$D$23+0.1))*$D$21+(1/($D$24/$D$23+0.17))*$D$22)*1.3)*IF(E95&gt;E96,(E95-E96),0),0)</f>
        <v>0</v>
      </c>
      <c r="F98" s="52" t="s">
        <v>114</v>
      </c>
      <c r="G98" s="173" t="str">
        <f t="shared" si="5"/>
        <v>(0 kWh)</v>
      </c>
    </row>
    <row r="99" spans="1:7" s="32" customFormat="1" ht="15" customHeight="1">
      <c r="A99" s="465"/>
      <c r="B99" s="454"/>
      <c r="C99" s="310"/>
      <c r="D99" s="52" t="s">
        <v>264</v>
      </c>
      <c r="E99" s="56" t="e">
        <f>IF(E95&gt;E96,$D$35*$D$36*(E95-E96),0)</f>
        <v>#N/A</v>
      </c>
      <c r="F99" s="52" t="s">
        <v>114</v>
      </c>
      <c r="G99" s="173" t="e">
        <f t="shared" si="5"/>
        <v>#N/A</v>
      </c>
    </row>
    <row r="100" spans="1:7" s="32" customFormat="1" ht="15" customHeight="1">
      <c r="A100" s="465"/>
      <c r="B100" s="454"/>
      <c r="C100" s="310"/>
      <c r="D100" s="133" t="s">
        <v>266</v>
      </c>
      <c r="E100" s="56" t="e">
        <f>E97+E98+E99</f>
        <v>#N/A</v>
      </c>
      <c r="F100" s="52" t="s">
        <v>114</v>
      </c>
      <c r="G100" s="173" t="e">
        <f t="shared" si="5"/>
        <v>#N/A</v>
      </c>
    </row>
    <row r="101" spans="1:7" s="32" customFormat="1" ht="15" customHeight="1">
      <c r="A101" s="465"/>
      <c r="B101" s="454"/>
      <c r="C101" s="458"/>
      <c r="D101" s="52" t="s">
        <v>322</v>
      </c>
      <c r="E101" s="58" t="e">
        <f>E100*E94</f>
        <v>#N/A</v>
      </c>
      <c r="F101" s="57" t="s">
        <v>114</v>
      </c>
      <c r="G101" s="59" t="e">
        <f t="shared" si="5"/>
        <v>#N/A</v>
      </c>
    </row>
    <row r="102" spans="1:7" s="32" customFormat="1" ht="15" customHeight="1" thickBot="1">
      <c r="A102" s="465"/>
      <c r="B102" s="455"/>
      <c r="C102" s="304"/>
      <c r="D102" s="89" t="s">
        <v>273</v>
      </c>
      <c r="E102" s="91" t="e">
        <f>E101*(1-$D$7)</f>
        <v>#N/A</v>
      </c>
      <c r="F102" s="174" t="s">
        <v>114</v>
      </c>
      <c r="G102" s="204" t="e">
        <f t="shared" si="5"/>
        <v>#N/A</v>
      </c>
    </row>
    <row r="103" spans="1:7" s="32" customFormat="1" ht="15" customHeight="1">
      <c r="A103" s="465"/>
      <c r="B103" s="459" t="s">
        <v>265</v>
      </c>
      <c r="C103" s="285"/>
      <c r="D103" s="285"/>
      <c r="E103" s="205" t="e">
        <f>E91+E101</f>
        <v>#N/A</v>
      </c>
      <c r="F103" s="206" t="s">
        <v>114</v>
      </c>
      <c r="G103" s="207" t="e">
        <f t="shared" si="5"/>
        <v>#N/A</v>
      </c>
    </row>
    <row r="104" spans="1:7" s="32" customFormat="1" ht="15" customHeight="1" thickBot="1">
      <c r="A104" s="466"/>
      <c r="B104" s="467" t="s">
        <v>274</v>
      </c>
      <c r="C104" s="468"/>
      <c r="D104" s="469"/>
      <c r="E104" s="76" t="e">
        <f>E103*(1-$D$7)</f>
        <v>#N/A</v>
      </c>
      <c r="F104" s="174" t="s">
        <v>114</v>
      </c>
      <c r="G104" s="175" t="e">
        <f t="shared" si="5"/>
        <v>#N/A</v>
      </c>
    </row>
    <row r="105" spans="1:7" s="32" customFormat="1" ht="15" customHeight="1">
      <c r="A105" s="464" t="s">
        <v>158</v>
      </c>
      <c r="B105" s="453" t="s">
        <v>155</v>
      </c>
      <c r="C105" s="456" t="s">
        <v>150</v>
      </c>
      <c r="D105" s="164" t="s">
        <v>151</v>
      </c>
      <c r="E105" s="172">
        <f>'Logement (1)'!$E$26</f>
        <v>0</v>
      </c>
      <c r="F105" s="164" t="s">
        <v>7</v>
      </c>
      <c r="G105" s="470"/>
    </row>
    <row r="106" spans="1:7" s="32" customFormat="1" ht="15" customHeight="1">
      <c r="A106" s="465"/>
      <c r="B106" s="454"/>
      <c r="C106" s="457"/>
      <c r="D106" s="52" t="s">
        <v>152</v>
      </c>
      <c r="E106" s="136">
        <f>'Logement (1)'!$E$27</f>
        <v>0</v>
      </c>
      <c r="F106" s="52" t="s">
        <v>8</v>
      </c>
      <c r="G106" s="471"/>
    </row>
    <row r="107" spans="1:7" s="32" customFormat="1" ht="15" customHeight="1">
      <c r="A107" s="465"/>
      <c r="B107" s="454"/>
      <c r="C107" s="457"/>
      <c r="D107" s="52" t="s">
        <v>271</v>
      </c>
      <c r="E107" s="109" t="e">
        <f>(1+IF($D$8="Radiateurs",0.7,1.3))/IF($D$8="Radiateurs",0.7,1.3)*E105-$D$6/IF($D$8="Radiateurs",0.7,1.3)</f>
        <v>#N/A</v>
      </c>
      <c r="F107" s="52" t="s">
        <v>7</v>
      </c>
      <c r="G107" s="471"/>
    </row>
    <row r="108" spans="1:7" s="32" customFormat="1" ht="15" customHeight="1">
      <c r="A108" s="465"/>
      <c r="B108" s="454"/>
      <c r="C108" s="457"/>
      <c r="D108" s="52" t="s">
        <v>262</v>
      </c>
      <c r="E108" s="52" t="e">
        <f>E105-$D$7*(E105-$D$6)</f>
        <v>#N/A</v>
      </c>
      <c r="F108" s="52" t="s">
        <v>114</v>
      </c>
      <c r="G108" s="472"/>
    </row>
    <row r="109" spans="1:7" s="32" customFormat="1" ht="15" customHeight="1">
      <c r="A109" s="465"/>
      <c r="B109" s="454"/>
      <c r="C109" s="457"/>
      <c r="D109" s="52" t="s">
        <v>263</v>
      </c>
      <c r="E109" s="56" t="e">
        <f>IF(E107&gt;E108,$D$12*$D$16*(E107-E108),0)</f>
        <v>#N/A</v>
      </c>
      <c r="F109" s="52" t="s">
        <v>114</v>
      </c>
      <c r="G109" s="173" t="e">
        <f aca="true" t="shared" si="6" ref="G109:G114">"("&amp;ROUND(E109/1000,3)&amp;" kWh)"</f>
        <v>#N/A</v>
      </c>
    </row>
    <row r="110" spans="1:7" s="32" customFormat="1" ht="15" customHeight="1">
      <c r="A110" s="465"/>
      <c r="B110" s="454"/>
      <c r="C110" s="457"/>
      <c r="D110" s="52" t="s">
        <v>510</v>
      </c>
      <c r="E110" s="56">
        <f>IF($D$24&lt;&gt;"",(((1/($D$24/$D$23+0.13))*$D$20+(1/($D$24/$D$23+0.1))*$D$21+(1/($D$24/$D$23+0.17))*$D$22)*1.3)*IF(E107&gt;E108,(E107-E108),0),0)</f>
        <v>0</v>
      </c>
      <c r="F110" s="52" t="s">
        <v>114</v>
      </c>
      <c r="G110" s="173" t="str">
        <f t="shared" si="6"/>
        <v>(0 kWh)</v>
      </c>
    </row>
    <row r="111" spans="1:7" s="32" customFormat="1" ht="15" customHeight="1">
      <c r="A111" s="465"/>
      <c r="B111" s="454"/>
      <c r="C111" s="457"/>
      <c r="D111" s="52" t="s">
        <v>264</v>
      </c>
      <c r="E111" s="56" t="e">
        <f>IF(E107&gt;E108,$D$35*$D$36*(E107-E108),0)</f>
        <v>#N/A</v>
      </c>
      <c r="F111" s="52" t="s">
        <v>114</v>
      </c>
      <c r="G111" s="173" t="e">
        <f t="shared" si="6"/>
        <v>#N/A</v>
      </c>
    </row>
    <row r="112" spans="1:7" s="32" customFormat="1" ht="15" customHeight="1">
      <c r="A112" s="465"/>
      <c r="B112" s="454"/>
      <c r="C112" s="457"/>
      <c r="D112" s="133" t="s">
        <v>266</v>
      </c>
      <c r="E112" s="56" t="e">
        <f>E109+E110+E111</f>
        <v>#N/A</v>
      </c>
      <c r="F112" s="52" t="s">
        <v>114</v>
      </c>
      <c r="G112" s="173" t="e">
        <f t="shared" si="6"/>
        <v>#N/A</v>
      </c>
    </row>
    <row r="113" spans="1:7" s="32" customFormat="1" ht="15" customHeight="1">
      <c r="A113" s="465"/>
      <c r="B113" s="454"/>
      <c r="C113" s="457"/>
      <c r="D113" s="52" t="s">
        <v>322</v>
      </c>
      <c r="E113" s="58" t="e">
        <f>E112*E106</f>
        <v>#N/A</v>
      </c>
      <c r="F113" s="57" t="s">
        <v>114</v>
      </c>
      <c r="G113" s="59" t="e">
        <f t="shared" si="6"/>
        <v>#N/A</v>
      </c>
    </row>
    <row r="114" spans="1:7" s="32" customFormat="1" ht="15" customHeight="1" thickBot="1">
      <c r="A114" s="465"/>
      <c r="B114" s="454"/>
      <c r="C114" s="457"/>
      <c r="D114" s="89" t="s">
        <v>273</v>
      </c>
      <c r="E114" s="90" t="e">
        <f>E113*(1-$D$7)</f>
        <v>#N/A</v>
      </c>
      <c r="F114" s="174" t="s">
        <v>114</v>
      </c>
      <c r="G114" s="175" t="e">
        <f t="shared" si="6"/>
        <v>#N/A</v>
      </c>
    </row>
    <row r="115" spans="1:7" s="32" customFormat="1" ht="15" customHeight="1">
      <c r="A115" s="465"/>
      <c r="B115" s="454"/>
      <c r="C115" s="309" t="s">
        <v>154</v>
      </c>
      <c r="D115" s="164" t="s">
        <v>151</v>
      </c>
      <c r="E115" s="172">
        <f>'Logement (1)'!$E$28</f>
        <v>0</v>
      </c>
      <c r="F115" s="164" t="s">
        <v>7</v>
      </c>
      <c r="G115" s="379"/>
    </row>
    <row r="116" spans="1:7" s="32" customFormat="1" ht="15" customHeight="1">
      <c r="A116" s="465"/>
      <c r="B116" s="454"/>
      <c r="C116" s="310"/>
      <c r="D116" s="52" t="s">
        <v>152</v>
      </c>
      <c r="E116" s="74">
        <f>24-E106</f>
        <v>24</v>
      </c>
      <c r="F116" s="52" t="s">
        <v>8</v>
      </c>
      <c r="G116" s="380"/>
    </row>
    <row r="117" spans="1:7" s="32" customFormat="1" ht="15" customHeight="1">
      <c r="A117" s="465"/>
      <c r="B117" s="454"/>
      <c r="C117" s="310"/>
      <c r="D117" s="52" t="s">
        <v>271</v>
      </c>
      <c r="E117" s="109" t="e">
        <f>(1+IF($D$8="Radiateurs",0.7,1.3))/IF($D$8="Radiateurs",0.7,1.3)*E115-$D$6/IF($D$8="Radiateurs",0.7,1.3)</f>
        <v>#N/A</v>
      </c>
      <c r="F117" s="52" t="s">
        <v>7</v>
      </c>
      <c r="G117" s="380"/>
    </row>
    <row r="118" spans="1:7" s="32" customFormat="1" ht="15" customHeight="1">
      <c r="A118" s="465"/>
      <c r="B118" s="454"/>
      <c r="C118" s="310"/>
      <c r="D118" s="52" t="s">
        <v>262</v>
      </c>
      <c r="E118" s="52" t="e">
        <f>E115-$D$7*(E115-$D$6)</f>
        <v>#N/A</v>
      </c>
      <c r="F118" s="52" t="s">
        <v>114</v>
      </c>
      <c r="G118" s="173" t="e">
        <f aca="true" t="shared" si="7" ref="G118:G126">"("&amp;ROUND(E118/1000,3)&amp;" kWh)"</f>
        <v>#N/A</v>
      </c>
    </row>
    <row r="119" spans="1:7" s="32" customFormat="1" ht="15" customHeight="1">
      <c r="A119" s="465"/>
      <c r="B119" s="454"/>
      <c r="C119" s="310"/>
      <c r="D119" s="52" t="s">
        <v>263</v>
      </c>
      <c r="E119" s="56" t="e">
        <f>IF(E117&gt;E118,$D$12*$D$16*(E117-E118),0)</f>
        <v>#N/A</v>
      </c>
      <c r="F119" s="52" t="s">
        <v>114</v>
      </c>
      <c r="G119" s="173" t="e">
        <f t="shared" si="7"/>
        <v>#N/A</v>
      </c>
    </row>
    <row r="120" spans="1:7" s="32" customFormat="1" ht="15" customHeight="1">
      <c r="A120" s="465"/>
      <c r="B120" s="454"/>
      <c r="C120" s="310"/>
      <c r="D120" s="52" t="s">
        <v>510</v>
      </c>
      <c r="E120" s="56">
        <f>IF($D$24&lt;&gt;"",(((1/($D$24/$D$23+0.13))*$D$20+(1/($D$24/$D$23+0.1))*$D$21+(1/($D$24/$D$23+0.17))*$D$22)*1.3)*IF(E117&gt;E118,(E117-E118),0),0)</f>
        <v>0</v>
      </c>
      <c r="F120" s="52" t="s">
        <v>114</v>
      </c>
      <c r="G120" s="173" t="str">
        <f t="shared" si="7"/>
        <v>(0 kWh)</v>
      </c>
    </row>
    <row r="121" spans="1:7" s="32" customFormat="1" ht="15" customHeight="1">
      <c r="A121" s="465"/>
      <c r="B121" s="454"/>
      <c r="C121" s="310"/>
      <c r="D121" s="52" t="s">
        <v>264</v>
      </c>
      <c r="E121" s="56" t="e">
        <f>IF(E117&gt;E118,$D$35*$D$36*(E117-E118),0)</f>
        <v>#N/A</v>
      </c>
      <c r="F121" s="52" t="s">
        <v>114</v>
      </c>
      <c r="G121" s="173" t="e">
        <f t="shared" si="7"/>
        <v>#N/A</v>
      </c>
    </row>
    <row r="122" spans="1:7" s="32" customFormat="1" ht="15" customHeight="1">
      <c r="A122" s="465"/>
      <c r="B122" s="454"/>
      <c r="C122" s="310"/>
      <c r="D122" s="133" t="s">
        <v>266</v>
      </c>
      <c r="E122" s="56" t="e">
        <f>E119+E120+E121</f>
        <v>#N/A</v>
      </c>
      <c r="F122" s="52" t="s">
        <v>114</v>
      </c>
      <c r="G122" s="173" t="e">
        <f t="shared" si="7"/>
        <v>#N/A</v>
      </c>
    </row>
    <row r="123" spans="1:7" s="32" customFormat="1" ht="15" customHeight="1">
      <c r="A123" s="465"/>
      <c r="B123" s="454"/>
      <c r="C123" s="458"/>
      <c r="D123" s="52" t="s">
        <v>322</v>
      </c>
      <c r="E123" s="58" t="e">
        <f>E122*E116</f>
        <v>#N/A</v>
      </c>
      <c r="F123" s="57" t="s">
        <v>114</v>
      </c>
      <c r="G123" s="59" t="e">
        <f t="shared" si="7"/>
        <v>#N/A</v>
      </c>
    </row>
    <row r="124" spans="1:7" s="32" customFormat="1" ht="15" customHeight="1" thickBot="1">
      <c r="A124" s="465"/>
      <c r="B124" s="455"/>
      <c r="C124" s="304"/>
      <c r="D124" s="89" t="s">
        <v>273</v>
      </c>
      <c r="E124" s="91" t="e">
        <f>E123*(1-$D$7)</f>
        <v>#N/A</v>
      </c>
      <c r="F124" s="174" t="s">
        <v>114</v>
      </c>
      <c r="G124" s="204" t="e">
        <f t="shared" si="7"/>
        <v>#N/A</v>
      </c>
    </row>
    <row r="125" spans="1:7" s="32" customFormat="1" ht="15" customHeight="1">
      <c r="A125" s="465"/>
      <c r="B125" s="459" t="s">
        <v>265</v>
      </c>
      <c r="C125" s="285"/>
      <c r="D125" s="285"/>
      <c r="E125" s="205" t="e">
        <f>E113+E123</f>
        <v>#N/A</v>
      </c>
      <c r="F125" s="206" t="s">
        <v>114</v>
      </c>
      <c r="G125" s="207" t="e">
        <f t="shared" si="7"/>
        <v>#N/A</v>
      </c>
    </row>
    <row r="126" spans="1:7" s="32" customFormat="1" ht="15" customHeight="1" thickBot="1">
      <c r="A126" s="466"/>
      <c r="B126" s="467" t="s">
        <v>274</v>
      </c>
      <c r="C126" s="468"/>
      <c r="D126" s="469"/>
      <c r="E126" s="76" t="e">
        <f>E125*(1-$D$7)</f>
        <v>#N/A</v>
      </c>
      <c r="F126" s="174" t="s">
        <v>114</v>
      </c>
      <c r="G126" s="175" t="e">
        <f t="shared" si="7"/>
        <v>#N/A</v>
      </c>
    </row>
    <row r="127" spans="1:7" s="32" customFormat="1" ht="15" customHeight="1">
      <c r="A127" s="464" t="s">
        <v>159</v>
      </c>
      <c r="B127" s="453" t="s">
        <v>155</v>
      </c>
      <c r="C127" s="456" t="s">
        <v>150</v>
      </c>
      <c r="D127" s="164" t="s">
        <v>151</v>
      </c>
      <c r="E127" s="172">
        <f>'Logement (1)'!$E$30</f>
        <v>0</v>
      </c>
      <c r="F127" s="164" t="s">
        <v>7</v>
      </c>
      <c r="G127" s="470"/>
    </row>
    <row r="128" spans="1:7" s="32" customFormat="1" ht="15" customHeight="1">
      <c r="A128" s="465"/>
      <c r="B128" s="454"/>
      <c r="C128" s="457"/>
      <c r="D128" s="52" t="s">
        <v>152</v>
      </c>
      <c r="E128" s="136">
        <f>'Logement (1)'!$E$31</f>
        <v>0</v>
      </c>
      <c r="F128" s="52" t="s">
        <v>8</v>
      </c>
      <c r="G128" s="471"/>
    </row>
    <row r="129" spans="1:7" s="32" customFormat="1" ht="15" customHeight="1">
      <c r="A129" s="465"/>
      <c r="B129" s="454"/>
      <c r="C129" s="457"/>
      <c r="D129" s="52" t="s">
        <v>271</v>
      </c>
      <c r="E129" s="109" t="e">
        <f>(1+IF($D$8="Radiateurs",0.7,1.3))/IF($D$8="Radiateurs",0.7,1.3)*E127-$D$6/IF($D$8="Radiateurs",0.7,1.3)</f>
        <v>#N/A</v>
      </c>
      <c r="F129" s="52" t="s">
        <v>7</v>
      </c>
      <c r="G129" s="471"/>
    </row>
    <row r="130" spans="1:7" s="32" customFormat="1" ht="15" customHeight="1">
      <c r="A130" s="465"/>
      <c r="B130" s="454"/>
      <c r="C130" s="457"/>
      <c r="D130" s="52" t="s">
        <v>262</v>
      </c>
      <c r="E130" s="52" t="e">
        <f>E127-$D$7*(E127-$D$6)</f>
        <v>#N/A</v>
      </c>
      <c r="F130" s="52" t="s">
        <v>114</v>
      </c>
      <c r="G130" s="472"/>
    </row>
    <row r="131" spans="1:7" s="32" customFormat="1" ht="15" customHeight="1">
      <c r="A131" s="465"/>
      <c r="B131" s="454"/>
      <c r="C131" s="457"/>
      <c r="D131" s="52" t="s">
        <v>263</v>
      </c>
      <c r="E131" s="56" t="e">
        <f>IF(E129&gt;E130,$D$12*$D$16*(E129-E130),0)</f>
        <v>#N/A</v>
      </c>
      <c r="F131" s="52" t="s">
        <v>114</v>
      </c>
      <c r="G131" s="173" t="e">
        <f aca="true" t="shared" si="8" ref="G131:G136">"("&amp;ROUND(E131/1000,3)&amp;" kWh)"</f>
        <v>#N/A</v>
      </c>
    </row>
    <row r="132" spans="1:7" s="32" customFormat="1" ht="15" customHeight="1">
      <c r="A132" s="465"/>
      <c r="B132" s="454"/>
      <c r="C132" s="457"/>
      <c r="D132" s="52" t="s">
        <v>510</v>
      </c>
      <c r="E132" s="56">
        <f>IF($D$24&lt;&gt;"",(((1/($D$24/$D$23+0.13))*$D$20+(1/($D$24/$D$23+0.1))*$D$21+(1/($D$24/$D$23+0.17))*$D$22)*1.3)*IF(E129&gt;E130,(E129-E130),0),0)</f>
        <v>0</v>
      </c>
      <c r="F132" s="52" t="s">
        <v>114</v>
      </c>
      <c r="G132" s="173" t="str">
        <f t="shared" si="8"/>
        <v>(0 kWh)</v>
      </c>
    </row>
    <row r="133" spans="1:7" s="32" customFormat="1" ht="15" customHeight="1">
      <c r="A133" s="465"/>
      <c r="B133" s="454"/>
      <c r="C133" s="457"/>
      <c r="D133" s="52" t="s">
        <v>264</v>
      </c>
      <c r="E133" s="56" t="e">
        <f>IF(E129&gt;E130,$D$35*$D$36*(E129-E130),0)</f>
        <v>#N/A</v>
      </c>
      <c r="F133" s="52" t="s">
        <v>114</v>
      </c>
      <c r="G133" s="173" t="e">
        <f t="shared" si="8"/>
        <v>#N/A</v>
      </c>
    </row>
    <row r="134" spans="1:7" s="32" customFormat="1" ht="15" customHeight="1">
      <c r="A134" s="465"/>
      <c r="B134" s="454"/>
      <c r="C134" s="457"/>
      <c r="D134" s="133" t="s">
        <v>266</v>
      </c>
      <c r="E134" s="56" t="e">
        <f>E131+E132+E133</f>
        <v>#N/A</v>
      </c>
      <c r="F134" s="52" t="s">
        <v>114</v>
      </c>
      <c r="G134" s="173" t="e">
        <f t="shared" si="8"/>
        <v>#N/A</v>
      </c>
    </row>
    <row r="135" spans="1:7" s="32" customFormat="1" ht="15" customHeight="1">
      <c r="A135" s="465"/>
      <c r="B135" s="454"/>
      <c r="C135" s="457"/>
      <c r="D135" s="52" t="s">
        <v>322</v>
      </c>
      <c r="E135" s="58" t="e">
        <f>E134*E128</f>
        <v>#N/A</v>
      </c>
      <c r="F135" s="57" t="s">
        <v>114</v>
      </c>
      <c r="G135" s="59" t="e">
        <f t="shared" si="8"/>
        <v>#N/A</v>
      </c>
    </row>
    <row r="136" spans="1:7" s="32" customFormat="1" ht="15" customHeight="1" thickBot="1">
      <c r="A136" s="465"/>
      <c r="B136" s="454"/>
      <c r="C136" s="457"/>
      <c r="D136" s="89" t="s">
        <v>273</v>
      </c>
      <c r="E136" s="90" t="e">
        <f>E135*(1-$D$7)</f>
        <v>#N/A</v>
      </c>
      <c r="F136" s="174" t="s">
        <v>114</v>
      </c>
      <c r="G136" s="175" t="e">
        <f t="shared" si="8"/>
        <v>#N/A</v>
      </c>
    </row>
    <row r="137" spans="1:7" s="32" customFormat="1" ht="15" customHeight="1">
      <c r="A137" s="465"/>
      <c r="B137" s="454"/>
      <c r="C137" s="309" t="s">
        <v>154</v>
      </c>
      <c r="D137" s="164" t="s">
        <v>151</v>
      </c>
      <c r="E137" s="172">
        <f>'Logement (1)'!$E$32</f>
        <v>0</v>
      </c>
      <c r="F137" s="164" t="s">
        <v>7</v>
      </c>
      <c r="G137" s="379"/>
    </row>
    <row r="138" spans="1:7" s="32" customFormat="1" ht="15" customHeight="1">
      <c r="A138" s="465"/>
      <c r="B138" s="454"/>
      <c r="C138" s="310"/>
      <c r="D138" s="52" t="s">
        <v>152</v>
      </c>
      <c r="E138" s="74">
        <f>24-E128</f>
        <v>24</v>
      </c>
      <c r="F138" s="52" t="s">
        <v>8</v>
      </c>
      <c r="G138" s="380"/>
    </row>
    <row r="139" spans="1:7" s="32" customFormat="1" ht="15" customHeight="1">
      <c r="A139" s="465"/>
      <c r="B139" s="454"/>
      <c r="C139" s="310"/>
      <c r="D139" s="52" t="s">
        <v>271</v>
      </c>
      <c r="E139" s="109" t="e">
        <f>(1+IF($D$8="Radiateurs",0.7,1.3))/IF($D$8="Radiateurs",0.7,1.3)*E137-$D$6/IF($D$8="Radiateurs",0.7,1.3)</f>
        <v>#N/A</v>
      </c>
      <c r="F139" s="52" t="s">
        <v>7</v>
      </c>
      <c r="G139" s="380"/>
    </row>
    <row r="140" spans="1:7" s="32" customFormat="1" ht="15" customHeight="1">
      <c r="A140" s="465"/>
      <c r="B140" s="454"/>
      <c r="C140" s="310"/>
      <c r="D140" s="52" t="s">
        <v>262</v>
      </c>
      <c r="E140" s="52" t="e">
        <f>E137-$D$7*(E137-$D$6)</f>
        <v>#N/A</v>
      </c>
      <c r="F140" s="52" t="s">
        <v>114</v>
      </c>
      <c r="G140" s="173" t="e">
        <f aca="true" t="shared" si="9" ref="G140:G148">"("&amp;ROUND(E140/1000,3)&amp;" kWh)"</f>
        <v>#N/A</v>
      </c>
    </row>
    <row r="141" spans="1:7" s="32" customFormat="1" ht="15" customHeight="1">
      <c r="A141" s="465"/>
      <c r="B141" s="454"/>
      <c r="C141" s="310"/>
      <c r="D141" s="52" t="s">
        <v>263</v>
      </c>
      <c r="E141" s="56" t="e">
        <f>IF(E139&gt;E140,$D$12*$D$16*(E139-E140),0)</f>
        <v>#N/A</v>
      </c>
      <c r="F141" s="52" t="s">
        <v>114</v>
      </c>
      <c r="G141" s="173" t="e">
        <f t="shared" si="9"/>
        <v>#N/A</v>
      </c>
    </row>
    <row r="142" spans="1:7" s="32" customFormat="1" ht="15" customHeight="1">
      <c r="A142" s="465"/>
      <c r="B142" s="454"/>
      <c r="C142" s="310"/>
      <c r="D142" s="52" t="s">
        <v>510</v>
      </c>
      <c r="E142" s="56">
        <f>IF($D$24&lt;&gt;"",(((1/($D$24/$D$23+0.13))*$D$20+(1/($D$24/$D$23+0.1))*$D$21+(1/($D$24/$D$23+0.17))*$D$22)*1.3)*IF(E139&gt;E140,(E139-E140),0),0)</f>
        <v>0</v>
      </c>
      <c r="F142" s="52" t="s">
        <v>114</v>
      </c>
      <c r="G142" s="173" t="str">
        <f t="shared" si="9"/>
        <v>(0 kWh)</v>
      </c>
    </row>
    <row r="143" spans="1:7" s="32" customFormat="1" ht="15" customHeight="1">
      <c r="A143" s="465"/>
      <c r="B143" s="454"/>
      <c r="C143" s="310"/>
      <c r="D143" s="52" t="s">
        <v>264</v>
      </c>
      <c r="E143" s="56" t="e">
        <f>IF(E139&gt;E140,$D$35*$D$36*(E139-E140),0)</f>
        <v>#N/A</v>
      </c>
      <c r="F143" s="52" t="s">
        <v>114</v>
      </c>
      <c r="G143" s="173" t="e">
        <f t="shared" si="9"/>
        <v>#N/A</v>
      </c>
    </row>
    <row r="144" spans="1:7" s="32" customFormat="1" ht="15" customHeight="1">
      <c r="A144" s="465"/>
      <c r="B144" s="454"/>
      <c r="C144" s="310"/>
      <c r="D144" s="133" t="s">
        <v>266</v>
      </c>
      <c r="E144" s="56" t="e">
        <f>E141+E142+E143</f>
        <v>#N/A</v>
      </c>
      <c r="F144" s="52" t="s">
        <v>114</v>
      </c>
      <c r="G144" s="173" t="e">
        <f t="shared" si="9"/>
        <v>#N/A</v>
      </c>
    </row>
    <row r="145" spans="1:7" s="32" customFormat="1" ht="15" customHeight="1">
      <c r="A145" s="465"/>
      <c r="B145" s="454"/>
      <c r="C145" s="458"/>
      <c r="D145" s="52" t="s">
        <v>322</v>
      </c>
      <c r="E145" s="58" t="e">
        <f>E144*E138</f>
        <v>#N/A</v>
      </c>
      <c r="F145" s="57" t="s">
        <v>114</v>
      </c>
      <c r="G145" s="59" t="e">
        <f t="shared" si="9"/>
        <v>#N/A</v>
      </c>
    </row>
    <row r="146" spans="1:7" s="32" customFormat="1" ht="15" customHeight="1" thickBot="1">
      <c r="A146" s="465"/>
      <c r="B146" s="455"/>
      <c r="C146" s="304"/>
      <c r="D146" s="89" t="s">
        <v>273</v>
      </c>
      <c r="E146" s="91" t="e">
        <f>E145*(1-$D$7)</f>
        <v>#N/A</v>
      </c>
      <c r="F146" s="174" t="s">
        <v>114</v>
      </c>
      <c r="G146" s="204" t="e">
        <f t="shared" si="9"/>
        <v>#N/A</v>
      </c>
    </row>
    <row r="147" spans="1:7" s="32" customFormat="1" ht="15" customHeight="1">
      <c r="A147" s="465"/>
      <c r="B147" s="459" t="s">
        <v>265</v>
      </c>
      <c r="C147" s="285"/>
      <c r="D147" s="285"/>
      <c r="E147" s="205" t="e">
        <f>E135+E145</f>
        <v>#N/A</v>
      </c>
      <c r="F147" s="206" t="s">
        <v>114</v>
      </c>
      <c r="G147" s="207" t="e">
        <f t="shared" si="9"/>
        <v>#N/A</v>
      </c>
    </row>
    <row r="148" spans="1:7" s="32" customFormat="1" ht="15" customHeight="1" thickBot="1">
      <c r="A148" s="466"/>
      <c r="B148" s="467" t="s">
        <v>274</v>
      </c>
      <c r="C148" s="468"/>
      <c r="D148" s="469"/>
      <c r="E148" s="76" t="e">
        <f>E147*(1-$D$7)</f>
        <v>#N/A</v>
      </c>
      <c r="F148" s="174" t="s">
        <v>114</v>
      </c>
      <c r="G148" s="175" t="e">
        <f t="shared" si="9"/>
        <v>#N/A</v>
      </c>
    </row>
    <row r="149" spans="1:7" s="32" customFormat="1" ht="15" customHeight="1">
      <c r="A149" s="464" t="s">
        <v>160</v>
      </c>
      <c r="B149" s="453" t="s">
        <v>155</v>
      </c>
      <c r="C149" s="456" t="s">
        <v>150</v>
      </c>
      <c r="D149" s="164" t="s">
        <v>151</v>
      </c>
      <c r="E149" s="172">
        <f>'Logement (1)'!$E$34</f>
        <v>0</v>
      </c>
      <c r="F149" s="164" t="s">
        <v>7</v>
      </c>
      <c r="G149" s="470"/>
    </row>
    <row r="150" spans="1:7" s="32" customFormat="1" ht="15" customHeight="1">
      <c r="A150" s="465"/>
      <c r="B150" s="454"/>
      <c r="C150" s="457"/>
      <c r="D150" s="52" t="s">
        <v>152</v>
      </c>
      <c r="E150" s="136">
        <f>'Logement (1)'!$E$35</f>
        <v>0</v>
      </c>
      <c r="F150" s="52" t="s">
        <v>8</v>
      </c>
      <c r="G150" s="471"/>
    </row>
    <row r="151" spans="1:7" s="32" customFormat="1" ht="15" customHeight="1">
      <c r="A151" s="465"/>
      <c r="B151" s="454"/>
      <c r="C151" s="457"/>
      <c r="D151" s="52" t="s">
        <v>271</v>
      </c>
      <c r="E151" s="109" t="e">
        <f>(1+IF($D$8="Radiateurs",0.7,1.3))/IF($D$8="Radiateurs",0.7,1.3)*E149-$D$6/IF($D$8="Radiateurs",0.7,1.3)</f>
        <v>#N/A</v>
      </c>
      <c r="F151" s="52" t="s">
        <v>7</v>
      </c>
      <c r="G151" s="471"/>
    </row>
    <row r="152" spans="1:7" s="32" customFormat="1" ht="15" customHeight="1">
      <c r="A152" s="465"/>
      <c r="B152" s="454"/>
      <c r="C152" s="457"/>
      <c r="D152" s="52" t="s">
        <v>262</v>
      </c>
      <c r="E152" s="52" t="e">
        <f>E149-$D$7*(E149-$D$6)</f>
        <v>#N/A</v>
      </c>
      <c r="F152" s="52" t="s">
        <v>114</v>
      </c>
      <c r="G152" s="472"/>
    </row>
    <row r="153" spans="1:7" s="32" customFormat="1" ht="15" customHeight="1">
      <c r="A153" s="465"/>
      <c r="B153" s="454"/>
      <c r="C153" s="457"/>
      <c r="D153" s="52" t="s">
        <v>263</v>
      </c>
      <c r="E153" s="56" t="e">
        <f>IF(E151&gt;E152,$D$12*$D$16*(E151-E152),0)</f>
        <v>#N/A</v>
      </c>
      <c r="F153" s="52" t="s">
        <v>114</v>
      </c>
      <c r="G153" s="173" t="e">
        <f aca="true" t="shared" si="10" ref="G153:G158">"("&amp;ROUND(E153/1000,3)&amp;" kWh)"</f>
        <v>#N/A</v>
      </c>
    </row>
    <row r="154" spans="1:7" s="32" customFormat="1" ht="15" customHeight="1">
      <c r="A154" s="465"/>
      <c r="B154" s="454"/>
      <c r="C154" s="457"/>
      <c r="D154" s="52" t="s">
        <v>510</v>
      </c>
      <c r="E154" s="56">
        <f>IF($D$24&lt;&gt;"",(((1/($D$24/$D$23+0.13))*$D$20+(1/($D$24/$D$23+0.1))*$D$21+(1/($D$24/$D$23+0.17))*$D$22)*1.3)*IF(E151&gt;E152,(E151-E152),0),0)</f>
        <v>0</v>
      </c>
      <c r="F154" s="52" t="s">
        <v>114</v>
      </c>
      <c r="G154" s="173" t="str">
        <f t="shared" si="10"/>
        <v>(0 kWh)</v>
      </c>
    </row>
    <row r="155" spans="1:7" s="32" customFormat="1" ht="15" customHeight="1">
      <c r="A155" s="465"/>
      <c r="B155" s="454"/>
      <c r="C155" s="457"/>
      <c r="D155" s="52" t="s">
        <v>264</v>
      </c>
      <c r="E155" s="56" t="e">
        <f>IF(E151&gt;E152,$D$35*$D$36*(E151-E152),0)</f>
        <v>#N/A</v>
      </c>
      <c r="F155" s="52" t="s">
        <v>114</v>
      </c>
      <c r="G155" s="173" t="e">
        <f t="shared" si="10"/>
        <v>#N/A</v>
      </c>
    </row>
    <row r="156" spans="1:7" s="32" customFormat="1" ht="15" customHeight="1">
      <c r="A156" s="465"/>
      <c r="B156" s="454"/>
      <c r="C156" s="457"/>
      <c r="D156" s="133" t="s">
        <v>266</v>
      </c>
      <c r="E156" s="56" t="e">
        <f>E153+E154+E155</f>
        <v>#N/A</v>
      </c>
      <c r="F156" s="52" t="s">
        <v>114</v>
      </c>
      <c r="G156" s="173" t="e">
        <f t="shared" si="10"/>
        <v>#N/A</v>
      </c>
    </row>
    <row r="157" spans="1:7" s="32" customFormat="1" ht="15" customHeight="1">
      <c r="A157" s="465"/>
      <c r="B157" s="454"/>
      <c r="C157" s="457"/>
      <c r="D157" s="52" t="s">
        <v>322</v>
      </c>
      <c r="E157" s="58" t="e">
        <f>E156*E150</f>
        <v>#N/A</v>
      </c>
      <c r="F157" s="57" t="s">
        <v>114</v>
      </c>
      <c r="G157" s="59" t="e">
        <f t="shared" si="10"/>
        <v>#N/A</v>
      </c>
    </row>
    <row r="158" spans="1:7" s="32" customFormat="1" ht="15" customHeight="1" thickBot="1">
      <c r="A158" s="465"/>
      <c r="B158" s="454"/>
      <c r="C158" s="457"/>
      <c r="D158" s="89" t="s">
        <v>273</v>
      </c>
      <c r="E158" s="90" t="e">
        <f>E157*(1-$D$7)</f>
        <v>#N/A</v>
      </c>
      <c r="F158" s="174" t="s">
        <v>114</v>
      </c>
      <c r="G158" s="175" t="e">
        <f t="shared" si="10"/>
        <v>#N/A</v>
      </c>
    </row>
    <row r="159" spans="1:7" s="32" customFormat="1" ht="15" customHeight="1">
      <c r="A159" s="465"/>
      <c r="B159" s="454"/>
      <c r="C159" s="309" t="s">
        <v>154</v>
      </c>
      <c r="D159" s="164" t="s">
        <v>151</v>
      </c>
      <c r="E159" s="172">
        <f>'Logement (1)'!$E$36</f>
        <v>0</v>
      </c>
      <c r="F159" s="164" t="s">
        <v>7</v>
      </c>
      <c r="G159" s="379"/>
    </row>
    <row r="160" spans="1:7" s="32" customFormat="1" ht="15" customHeight="1">
      <c r="A160" s="465"/>
      <c r="B160" s="454"/>
      <c r="C160" s="310"/>
      <c r="D160" s="52" t="s">
        <v>152</v>
      </c>
      <c r="E160" s="74">
        <f>24-E150</f>
        <v>24</v>
      </c>
      <c r="F160" s="52" t="s">
        <v>8</v>
      </c>
      <c r="G160" s="380"/>
    </row>
    <row r="161" spans="1:7" s="32" customFormat="1" ht="15" customHeight="1">
      <c r="A161" s="465"/>
      <c r="B161" s="454"/>
      <c r="C161" s="310"/>
      <c r="D161" s="52" t="s">
        <v>271</v>
      </c>
      <c r="E161" s="109" t="e">
        <f>(1+IF($D$8="Radiateurs",0.7,1.3))/IF($D$8="Radiateurs",0.7,1.3)*E159-$D$6/IF($D$8="Radiateurs",0.7,1.3)</f>
        <v>#N/A</v>
      </c>
      <c r="F161" s="52" t="s">
        <v>7</v>
      </c>
      <c r="G161" s="380"/>
    </row>
    <row r="162" spans="1:7" s="32" customFormat="1" ht="15" customHeight="1">
      <c r="A162" s="465"/>
      <c r="B162" s="454"/>
      <c r="C162" s="310"/>
      <c r="D162" s="52" t="s">
        <v>262</v>
      </c>
      <c r="E162" s="52" t="e">
        <f>E159-$D$7*(E159-$D$6)</f>
        <v>#N/A</v>
      </c>
      <c r="F162" s="52" t="s">
        <v>114</v>
      </c>
      <c r="G162" s="173" t="e">
        <f aca="true" t="shared" si="11" ref="G162:G170">"("&amp;ROUND(E162/1000,3)&amp;" kWh)"</f>
        <v>#N/A</v>
      </c>
    </row>
    <row r="163" spans="1:7" s="32" customFormat="1" ht="15" customHeight="1">
      <c r="A163" s="465"/>
      <c r="B163" s="454"/>
      <c r="C163" s="310"/>
      <c r="D163" s="52" t="s">
        <v>263</v>
      </c>
      <c r="E163" s="56" t="e">
        <f>IF(E161&gt;E162,$D$12*$D$16*(E161-E162),0)</f>
        <v>#N/A</v>
      </c>
      <c r="F163" s="52" t="s">
        <v>114</v>
      </c>
      <c r="G163" s="173" t="e">
        <f t="shared" si="11"/>
        <v>#N/A</v>
      </c>
    </row>
    <row r="164" spans="1:7" s="32" customFormat="1" ht="15" customHeight="1">
      <c r="A164" s="465"/>
      <c r="B164" s="454"/>
      <c r="C164" s="310"/>
      <c r="D164" s="52" t="s">
        <v>510</v>
      </c>
      <c r="E164" s="56">
        <f>IF($D$24&lt;&gt;"",(((1/($D$24/$D$23+0.13))*$D$20+(1/($D$24/$D$23+0.1))*$D$21+(1/($D$24/$D$23+0.17))*$D$22)*1.3)*IF(E161&gt;E162,(E161-E162),0),0)</f>
        <v>0</v>
      </c>
      <c r="F164" s="52" t="s">
        <v>114</v>
      </c>
      <c r="G164" s="173" t="str">
        <f t="shared" si="11"/>
        <v>(0 kWh)</v>
      </c>
    </row>
    <row r="165" spans="1:7" s="32" customFormat="1" ht="15" customHeight="1">
      <c r="A165" s="465"/>
      <c r="B165" s="454"/>
      <c r="C165" s="310"/>
      <c r="D165" s="52" t="s">
        <v>264</v>
      </c>
      <c r="E165" s="56" t="e">
        <f>IF(E161&gt;E162,$D$35*$D$36*(E161-E162),0)</f>
        <v>#N/A</v>
      </c>
      <c r="F165" s="52" t="s">
        <v>114</v>
      </c>
      <c r="G165" s="173" t="e">
        <f t="shared" si="11"/>
        <v>#N/A</v>
      </c>
    </row>
    <row r="166" spans="1:7" s="32" customFormat="1" ht="15" customHeight="1">
      <c r="A166" s="465"/>
      <c r="B166" s="454"/>
      <c r="C166" s="310"/>
      <c r="D166" s="133" t="s">
        <v>266</v>
      </c>
      <c r="E166" s="56" t="e">
        <f>E163+E164+E165</f>
        <v>#N/A</v>
      </c>
      <c r="F166" s="52" t="s">
        <v>114</v>
      </c>
      <c r="G166" s="173" t="e">
        <f t="shared" si="11"/>
        <v>#N/A</v>
      </c>
    </row>
    <row r="167" spans="1:7" s="32" customFormat="1" ht="15" customHeight="1">
      <c r="A167" s="465"/>
      <c r="B167" s="454"/>
      <c r="C167" s="458"/>
      <c r="D167" s="52" t="s">
        <v>322</v>
      </c>
      <c r="E167" s="58" t="e">
        <f>E166*E160</f>
        <v>#N/A</v>
      </c>
      <c r="F167" s="57" t="s">
        <v>114</v>
      </c>
      <c r="G167" s="59" t="e">
        <f t="shared" si="11"/>
        <v>#N/A</v>
      </c>
    </row>
    <row r="168" spans="1:7" s="32" customFormat="1" ht="15" customHeight="1" thickBot="1">
      <c r="A168" s="465"/>
      <c r="B168" s="455"/>
      <c r="C168" s="304"/>
      <c r="D168" s="89" t="s">
        <v>273</v>
      </c>
      <c r="E168" s="91" t="e">
        <f>E167*(1-$D$7)</f>
        <v>#N/A</v>
      </c>
      <c r="F168" s="174" t="s">
        <v>114</v>
      </c>
      <c r="G168" s="204" t="e">
        <f t="shared" si="11"/>
        <v>#N/A</v>
      </c>
    </row>
    <row r="169" spans="1:7" s="32" customFormat="1" ht="15" customHeight="1">
      <c r="A169" s="465"/>
      <c r="B169" s="459" t="s">
        <v>265</v>
      </c>
      <c r="C169" s="285"/>
      <c r="D169" s="285"/>
      <c r="E169" s="205" t="e">
        <f>E157+E167</f>
        <v>#N/A</v>
      </c>
      <c r="F169" s="206" t="s">
        <v>114</v>
      </c>
      <c r="G169" s="207" t="e">
        <f t="shared" si="11"/>
        <v>#N/A</v>
      </c>
    </row>
    <row r="170" spans="1:7" s="32" customFormat="1" ht="15" customHeight="1" thickBot="1">
      <c r="A170" s="466"/>
      <c r="B170" s="467" t="s">
        <v>274</v>
      </c>
      <c r="C170" s="468"/>
      <c r="D170" s="469"/>
      <c r="E170" s="76" t="e">
        <f>E169*(1-$D$7)</f>
        <v>#N/A</v>
      </c>
      <c r="F170" s="174" t="s">
        <v>114</v>
      </c>
      <c r="G170" s="175" t="e">
        <f t="shared" si="11"/>
        <v>#N/A</v>
      </c>
    </row>
    <row r="171" spans="1:7" s="32" customFormat="1" ht="15" customHeight="1">
      <c r="A171" s="464" t="s">
        <v>161</v>
      </c>
      <c r="B171" s="453" t="s">
        <v>155</v>
      </c>
      <c r="C171" s="456" t="s">
        <v>150</v>
      </c>
      <c r="D171" s="164" t="s">
        <v>151</v>
      </c>
      <c r="E171" s="172">
        <f>'Logement (1)'!$E$38</f>
        <v>0</v>
      </c>
      <c r="F171" s="164" t="s">
        <v>7</v>
      </c>
      <c r="G171" s="470"/>
    </row>
    <row r="172" spans="1:7" s="32" customFormat="1" ht="15" customHeight="1">
      <c r="A172" s="465"/>
      <c r="B172" s="454"/>
      <c r="C172" s="457"/>
      <c r="D172" s="52" t="s">
        <v>152</v>
      </c>
      <c r="E172" s="136">
        <f>'Logement (1)'!$E$39</f>
        <v>0</v>
      </c>
      <c r="F172" s="52" t="s">
        <v>8</v>
      </c>
      <c r="G172" s="471"/>
    </row>
    <row r="173" spans="1:7" s="32" customFormat="1" ht="15" customHeight="1">
      <c r="A173" s="465"/>
      <c r="B173" s="454"/>
      <c r="C173" s="457"/>
      <c r="D173" s="52" t="s">
        <v>271</v>
      </c>
      <c r="E173" s="109" t="e">
        <f>(1+IF($D$8="Radiateurs",0.7,1.3))/IF($D$8="Radiateurs",0.7,1.3)*E171-$D$6/IF($D$8="Radiateurs",0.7,1.3)</f>
        <v>#N/A</v>
      </c>
      <c r="F173" s="52" t="s">
        <v>7</v>
      </c>
      <c r="G173" s="471"/>
    </row>
    <row r="174" spans="1:7" s="32" customFormat="1" ht="15" customHeight="1">
      <c r="A174" s="465"/>
      <c r="B174" s="454"/>
      <c r="C174" s="457"/>
      <c r="D174" s="52" t="s">
        <v>262</v>
      </c>
      <c r="E174" s="52" t="e">
        <f>E171-$D$7*(E171-$D$6)</f>
        <v>#N/A</v>
      </c>
      <c r="F174" s="52" t="s">
        <v>114</v>
      </c>
      <c r="G174" s="472"/>
    </row>
    <row r="175" spans="1:7" s="32" customFormat="1" ht="15" customHeight="1">
      <c r="A175" s="465"/>
      <c r="B175" s="454"/>
      <c r="C175" s="457"/>
      <c r="D175" s="52" t="s">
        <v>263</v>
      </c>
      <c r="E175" s="56" t="e">
        <f>IF(E173&gt;E174,$D$12*$D$16*(E173-E174),0)</f>
        <v>#N/A</v>
      </c>
      <c r="F175" s="52" t="s">
        <v>114</v>
      </c>
      <c r="G175" s="173" t="e">
        <f aca="true" t="shared" si="12" ref="G175:G180">"("&amp;ROUND(E175/1000,3)&amp;" kWh)"</f>
        <v>#N/A</v>
      </c>
    </row>
    <row r="176" spans="1:7" s="32" customFormat="1" ht="15" customHeight="1">
      <c r="A176" s="465"/>
      <c r="B176" s="454"/>
      <c r="C176" s="457"/>
      <c r="D176" s="52" t="s">
        <v>510</v>
      </c>
      <c r="E176" s="56">
        <f>IF($D$24&lt;&gt;"",(((1/($D$24/$D$23+0.13))*$D$20+(1/($D$24/$D$23+0.1))*$D$21+(1/($D$24/$D$23+0.17))*$D$22)*1.3)*IF(E173&gt;E174,(E173-E174),0),0)</f>
        <v>0</v>
      </c>
      <c r="F176" s="52" t="s">
        <v>114</v>
      </c>
      <c r="G176" s="173" t="str">
        <f t="shared" si="12"/>
        <v>(0 kWh)</v>
      </c>
    </row>
    <row r="177" spans="1:7" s="32" customFormat="1" ht="15" customHeight="1">
      <c r="A177" s="465"/>
      <c r="B177" s="454"/>
      <c r="C177" s="457"/>
      <c r="D177" s="52" t="s">
        <v>264</v>
      </c>
      <c r="E177" s="56" t="e">
        <f>IF(E173&gt;E174,$D$35*$D$36*(E173-E174),0)</f>
        <v>#N/A</v>
      </c>
      <c r="F177" s="52" t="s">
        <v>114</v>
      </c>
      <c r="G177" s="173" t="e">
        <f t="shared" si="12"/>
        <v>#N/A</v>
      </c>
    </row>
    <row r="178" spans="1:7" s="32" customFormat="1" ht="15" customHeight="1">
      <c r="A178" s="465"/>
      <c r="B178" s="454"/>
      <c r="C178" s="457"/>
      <c r="D178" s="133" t="s">
        <v>266</v>
      </c>
      <c r="E178" s="56" t="e">
        <f>E175+E176+E177</f>
        <v>#N/A</v>
      </c>
      <c r="F178" s="52" t="s">
        <v>114</v>
      </c>
      <c r="G178" s="173" t="e">
        <f t="shared" si="12"/>
        <v>#N/A</v>
      </c>
    </row>
    <row r="179" spans="1:7" s="32" customFormat="1" ht="15" customHeight="1">
      <c r="A179" s="465"/>
      <c r="B179" s="454"/>
      <c r="C179" s="457"/>
      <c r="D179" s="52" t="s">
        <v>322</v>
      </c>
      <c r="E179" s="58" t="e">
        <f>E178*E172</f>
        <v>#N/A</v>
      </c>
      <c r="F179" s="57" t="s">
        <v>114</v>
      </c>
      <c r="G179" s="59" t="e">
        <f t="shared" si="12"/>
        <v>#N/A</v>
      </c>
    </row>
    <row r="180" spans="1:7" s="32" customFormat="1" ht="15" customHeight="1" thickBot="1">
      <c r="A180" s="465"/>
      <c r="B180" s="454"/>
      <c r="C180" s="457"/>
      <c r="D180" s="89" t="s">
        <v>273</v>
      </c>
      <c r="E180" s="90" t="e">
        <f>E179*(1-$D$7)</f>
        <v>#N/A</v>
      </c>
      <c r="F180" s="174" t="s">
        <v>114</v>
      </c>
      <c r="G180" s="175" t="e">
        <f t="shared" si="12"/>
        <v>#N/A</v>
      </c>
    </row>
    <row r="181" spans="1:7" s="32" customFormat="1" ht="15" customHeight="1">
      <c r="A181" s="465"/>
      <c r="B181" s="454"/>
      <c r="C181" s="309" t="s">
        <v>154</v>
      </c>
      <c r="D181" s="164" t="s">
        <v>151</v>
      </c>
      <c r="E181" s="172">
        <f>'Logement (1)'!$E$40</f>
        <v>0</v>
      </c>
      <c r="F181" s="164" t="s">
        <v>7</v>
      </c>
      <c r="G181" s="379"/>
    </row>
    <row r="182" spans="1:7" s="32" customFormat="1" ht="15" customHeight="1">
      <c r="A182" s="465"/>
      <c r="B182" s="454"/>
      <c r="C182" s="310"/>
      <c r="D182" s="52" t="s">
        <v>152</v>
      </c>
      <c r="E182" s="74">
        <f>24-E172</f>
        <v>24</v>
      </c>
      <c r="F182" s="52" t="s">
        <v>8</v>
      </c>
      <c r="G182" s="380"/>
    </row>
    <row r="183" spans="1:7" s="32" customFormat="1" ht="15" customHeight="1">
      <c r="A183" s="465"/>
      <c r="B183" s="454"/>
      <c r="C183" s="310"/>
      <c r="D183" s="52" t="s">
        <v>271</v>
      </c>
      <c r="E183" s="109" t="e">
        <f>(1+IF($D$8="Radiateurs",0.7,1.3))/IF($D$8="Radiateurs",0.7,1.3)*E181-$D$6/IF($D$8="Radiateurs",0.7,1.3)</f>
        <v>#N/A</v>
      </c>
      <c r="F183" s="52" t="s">
        <v>7</v>
      </c>
      <c r="G183" s="380"/>
    </row>
    <row r="184" spans="1:7" s="32" customFormat="1" ht="15" customHeight="1">
      <c r="A184" s="465"/>
      <c r="B184" s="454"/>
      <c r="C184" s="310"/>
      <c r="D184" s="52" t="s">
        <v>262</v>
      </c>
      <c r="E184" s="52" t="e">
        <f>E181-$D$7*(E181-$D$6)</f>
        <v>#N/A</v>
      </c>
      <c r="F184" s="52" t="s">
        <v>114</v>
      </c>
      <c r="G184" s="173" t="e">
        <f aca="true" t="shared" si="13" ref="G184:G192">"("&amp;ROUND(E184/1000,3)&amp;" kWh)"</f>
        <v>#N/A</v>
      </c>
    </row>
    <row r="185" spans="1:7" s="32" customFormat="1" ht="15" customHeight="1">
      <c r="A185" s="465"/>
      <c r="B185" s="454"/>
      <c r="C185" s="310"/>
      <c r="D185" s="52" t="s">
        <v>263</v>
      </c>
      <c r="E185" s="56" t="e">
        <f>IF(E183&gt;E184,$D$12*$D$16*(E183-E184),0)</f>
        <v>#N/A</v>
      </c>
      <c r="F185" s="52" t="s">
        <v>114</v>
      </c>
      <c r="G185" s="173" t="e">
        <f t="shared" si="13"/>
        <v>#N/A</v>
      </c>
    </row>
    <row r="186" spans="1:7" s="32" customFormat="1" ht="15" customHeight="1">
      <c r="A186" s="465"/>
      <c r="B186" s="454"/>
      <c r="C186" s="310"/>
      <c r="D186" s="52" t="s">
        <v>510</v>
      </c>
      <c r="E186" s="56">
        <f>IF($D$24&lt;&gt;"",(((1/($D$24/$D$23+0.13))*$D$20+(1/($D$24/$D$23+0.1))*$D$21+(1/($D$24/$D$23+0.17))*$D$22)*1.3)*IF(E183&gt;E184,(E183-E184),0),0)</f>
        <v>0</v>
      </c>
      <c r="F186" s="52" t="s">
        <v>114</v>
      </c>
      <c r="G186" s="173" t="str">
        <f t="shared" si="13"/>
        <v>(0 kWh)</v>
      </c>
    </row>
    <row r="187" spans="1:7" s="32" customFormat="1" ht="15" customHeight="1">
      <c r="A187" s="465"/>
      <c r="B187" s="454"/>
      <c r="C187" s="310"/>
      <c r="D187" s="52" t="s">
        <v>264</v>
      </c>
      <c r="E187" s="56" t="e">
        <f>IF(E183&gt;E184,$D$35*$D$36*(E183-E184),0)</f>
        <v>#N/A</v>
      </c>
      <c r="F187" s="52" t="s">
        <v>114</v>
      </c>
      <c r="G187" s="173" t="e">
        <f t="shared" si="13"/>
        <v>#N/A</v>
      </c>
    </row>
    <row r="188" spans="1:7" s="32" customFormat="1" ht="15" customHeight="1">
      <c r="A188" s="465"/>
      <c r="B188" s="454"/>
      <c r="C188" s="310"/>
      <c r="D188" s="133" t="s">
        <v>266</v>
      </c>
      <c r="E188" s="56" t="e">
        <f>E185+E186+E187</f>
        <v>#N/A</v>
      </c>
      <c r="F188" s="52" t="s">
        <v>114</v>
      </c>
      <c r="G188" s="173" t="e">
        <f t="shared" si="13"/>
        <v>#N/A</v>
      </c>
    </row>
    <row r="189" spans="1:7" s="32" customFormat="1" ht="15" customHeight="1">
      <c r="A189" s="465"/>
      <c r="B189" s="454"/>
      <c r="C189" s="458"/>
      <c r="D189" s="52" t="s">
        <v>322</v>
      </c>
      <c r="E189" s="58" t="e">
        <f>E188*E182</f>
        <v>#N/A</v>
      </c>
      <c r="F189" s="57" t="s">
        <v>114</v>
      </c>
      <c r="G189" s="59" t="e">
        <f t="shared" si="13"/>
        <v>#N/A</v>
      </c>
    </row>
    <row r="190" spans="1:7" s="32" customFormat="1" ht="15" customHeight="1" thickBot="1">
      <c r="A190" s="465"/>
      <c r="B190" s="455"/>
      <c r="C190" s="304"/>
      <c r="D190" s="89" t="s">
        <v>273</v>
      </c>
      <c r="E190" s="91" t="e">
        <f>E189*(1-$D$7)</f>
        <v>#N/A</v>
      </c>
      <c r="F190" s="174" t="s">
        <v>114</v>
      </c>
      <c r="G190" s="204" t="e">
        <f t="shared" si="13"/>
        <v>#N/A</v>
      </c>
    </row>
    <row r="191" spans="1:7" s="32" customFormat="1" ht="15" customHeight="1">
      <c r="A191" s="465"/>
      <c r="B191" s="459" t="s">
        <v>265</v>
      </c>
      <c r="C191" s="285"/>
      <c r="D191" s="285"/>
      <c r="E191" s="205" t="e">
        <f>E179+E189</f>
        <v>#N/A</v>
      </c>
      <c r="F191" s="206" t="s">
        <v>114</v>
      </c>
      <c r="G191" s="207" t="e">
        <f t="shared" si="13"/>
        <v>#N/A</v>
      </c>
    </row>
    <row r="192" spans="1:7" s="32" customFormat="1" ht="15" customHeight="1" thickBot="1">
      <c r="A192" s="466"/>
      <c r="B192" s="467" t="s">
        <v>274</v>
      </c>
      <c r="C192" s="468"/>
      <c r="D192" s="469"/>
      <c r="E192" s="76" t="e">
        <f>E191*(1-$D$7)</f>
        <v>#N/A</v>
      </c>
      <c r="F192" s="174" t="s">
        <v>114</v>
      </c>
      <c r="G192" s="175" t="e">
        <f t="shared" si="13"/>
        <v>#N/A</v>
      </c>
    </row>
    <row r="193" spans="1:7" s="32" customFormat="1" ht="15" customHeight="1" thickBot="1">
      <c r="A193" s="381"/>
      <c r="B193" s="382"/>
      <c r="C193" s="382"/>
      <c r="D193" s="382"/>
      <c r="E193" s="382"/>
      <c r="F193" s="382"/>
      <c r="G193" s="383"/>
    </row>
    <row r="194" spans="1:7" ht="15" customHeight="1">
      <c r="A194" s="301" t="s">
        <v>220</v>
      </c>
      <c r="B194" s="302"/>
      <c r="C194" s="302"/>
      <c r="D194" s="302"/>
      <c r="E194" s="302"/>
      <c r="F194" s="302"/>
      <c r="G194" s="303"/>
    </row>
    <row r="195" spans="1:7" ht="15" customHeight="1">
      <c r="A195" s="308" t="s">
        <v>268</v>
      </c>
      <c r="B195" s="350"/>
      <c r="C195" s="88" t="e">
        <f>E47+E69+E91+E113+E135+E157+E179</f>
        <v>#N/A</v>
      </c>
      <c r="D195" s="74" t="s">
        <v>114</v>
      </c>
      <c r="E195" s="51" t="e">
        <f aca="true" t="shared" si="14" ref="E195:E200">"("&amp;ROUND(C195/1000,3)&amp;" kWh)"</f>
        <v>#N/A</v>
      </c>
      <c r="F195" s="461"/>
      <c r="G195" s="344"/>
    </row>
    <row r="196" spans="1:7" ht="15" customHeight="1">
      <c r="A196" s="308" t="s">
        <v>275</v>
      </c>
      <c r="B196" s="350"/>
      <c r="C196" s="88" t="e">
        <f>C195*(1-$D$7)</f>
        <v>#N/A</v>
      </c>
      <c r="D196" s="74" t="s">
        <v>114</v>
      </c>
      <c r="E196" s="51" t="e">
        <f t="shared" si="14"/>
        <v>#N/A</v>
      </c>
      <c r="F196" s="462"/>
      <c r="G196" s="346"/>
    </row>
    <row r="197" spans="1:7" ht="15" customHeight="1">
      <c r="A197" s="308" t="s">
        <v>269</v>
      </c>
      <c r="B197" s="350"/>
      <c r="C197" s="88" t="e">
        <f>E57+E79+E101+E123+E145+E167+E189</f>
        <v>#N/A</v>
      </c>
      <c r="D197" s="74" t="s">
        <v>114</v>
      </c>
      <c r="E197" s="51" t="e">
        <f t="shared" si="14"/>
        <v>#N/A</v>
      </c>
      <c r="F197" s="462"/>
      <c r="G197" s="346"/>
    </row>
    <row r="198" spans="1:7" ht="15" customHeight="1">
      <c r="A198" s="308" t="s">
        <v>276</v>
      </c>
      <c r="B198" s="350"/>
      <c r="C198" s="88" t="e">
        <f>C197*(1-$D$7)</f>
        <v>#N/A</v>
      </c>
      <c r="D198" s="74" t="s">
        <v>114</v>
      </c>
      <c r="E198" s="51" t="e">
        <f t="shared" si="14"/>
        <v>#N/A</v>
      </c>
      <c r="F198" s="462"/>
      <c r="G198" s="346"/>
    </row>
    <row r="199" spans="1:7" ht="15" customHeight="1">
      <c r="A199" s="308" t="s">
        <v>267</v>
      </c>
      <c r="B199" s="350"/>
      <c r="C199" s="58" t="e">
        <f>C195+C197</f>
        <v>#N/A</v>
      </c>
      <c r="D199" s="57" t="s">
        <v>114</v>
      </c>
      <c r="E199" s="181" t="e">
        <f t="shared" si="14"/>
        <v>#N/A</v>
      </c>
      <c r="F199" s="462"/>
      <c r="G199" s="346"/>
    </row>
    <row r="200" spans="1:7" ht="15" customHeight="1" thickBot="1">
      <c r="A200" s="473" t="s">
        <v>277</v>
      </c>
      <c r="B200" s="474"/>
      <c r="C200" s="76" t="e">
        <f>C199*(1-$D$7)</f>
        <v>#N/A</v>
      </c>
      <c r="D200" s="174" t="s">
        <v>114</v>
      </c>
      <c r="E200" s="182" t="e">
        <f t="shared" si="14"/>
        <v>#N/A</v>
      </c>
      <c r="F200" s="449"/>
      <c r="G200" s="450"/>
    </row>
    <row r="201" spans="1:7" ht="15" customHeight="1" thickBot="1">
      <c r="A201" s="448"/>
      <c r="B201" s="449"/>
      <c r="C201" s="449"/>
      <c r="D201" s="449"/>
      <c r="E201" s="449"/>
      <c r="F201" s="449"/>
      <c r="G201" s="450"/>
    </row>
    <row r="202" spans="1:7" ht="15" customHeight="1">
      <c r="A202" s="301" t="s">
        <v>165</v>
      </c>
      <c r="B202" s="302"/>
      <c r="C202" s="302"/>
      <c r="D202" s="302"/>
      <c r="E202" s="302"/>
      <c r="F202" s="302"/>
      <c r="G202" s="303"/>
    </row>
    <row r="203" spans="1:7" ht="15" customHeight="1">
      <c r="A203" s="433" t="s">
        <v>366</v>
      </c>
      <c r="B203" s="276"/>
      <c r="C203" s="74">
        <f>IF('Logement (1)'!$C$49="Oui",'Logement (1)'!$C$51,0)</f>
        <v>0</v>
      </c>
      <c r="D203" s="52" t="s">
        <v>164</v>
      </c>
      <c r="E203" s="415"/>
      <c r="F203" s="461"/>
      <c r="G203" s="344"/>
    </row>
    <row r="204" spans="1:7" ht="15" customHeight="1">
      <c r="A204" s="433" t="s">
        <v>228</v>
      </c>
      <c r="B204" s="276"/>
      <c r="C204" s="74">
        <f>'Logement (1)'!$C$52</f>
        <v>0</v>
      </c>
      <c r="D204" s="52" t="s">
        <v>7</v>
      </c>
      <c r="E204" s="385"/>
      <c r="F204" s="462"/>
      <c r="G204" s="346"/>
    </row>
    <row r="205" spans="1:7" ht="15" customHeight="1">
      <c r="A205" s="433" t="s">
        <v>271</v>
      </c>
      <c r="B205" s="276"/>
      <c r="C205" s="109" t="e">
        <f>(1+IF($D$8="Radiateurs",0.7,1.3))/IF($D$8="Radiateurs",0.7,1.3)*C204-$D$6/IF($D$8="Radiateurs",0.7,1.3)</f>
        <v>#N/A</v>
      </c>
      <c r="D205" s="74" t="s">
        <v>7</v>
      </c>
      <c r="E205" s="385"/>
      <c r="F205" s="462"/>
      <c r="G205" s="346"/>
    </row>
    <row r="206" spans="1:7" ht="15" customHeight="1">
      <c r="A206" s="433" t="s">
        <v>262</v>
      </c>
      <c r="B206" s="276"/>
      <c r="C206" s="74" t="e">
        <f>C204-$D$7*(C204-$D$6)</f>
        <v>#N/A</v>
      </c>
      <c r="D206" s="74" t="s">
        <v>7</v>
      </c>
      <c r="E206" s="361"/>
      <c r="F206" s="462"/>
      <c r="G206" s="346"/>
    </row>
    <row r="207" spans="1:7" ht="15" customHeight="1">
      <c r="A207" s="433" t="s">
        <v>263</v>
      </c>
      <c r="B207" s="276"/>
      <c r="C207" s="88" t="e">
        <f>$D$12*$D$16*IF(C205&gt;C206,(C205-C206),0)</f>
        <v>#N/A</v>
      </c>
      <c r="D207" s="74" t="s">
        <v>114</v>
      </c>
      <c r="E207" s="51" t="e">
        <f aca="true" t="shared" si="15" ref="E207:E215">"("&amp;ROUND(C207/1000,3)&amp;" kWh)"</f>
        <v>#N/A</v>
      </c>
      <c r="F207" s="462"/>
      <c r="G207" s="346"/>
    </row>
    <row r="208" spans="1:7" ht="15" customHeight="1">
      <c r="A208" s="433" t="s">
        <v>510</v>
      </c>
      <c r="B208" s="276"/>
      <c r="C208" s="88">
        <f>IF($D$24&lt;&gt;"",(((1/($D$24/$D$23+0.13))*$D$20+(1/($D$24/$D$23+0.1))*$D$21+(1/($D$24/$D$23+0.17))*$D$22)*1.3)*IF(C205&gt;C206,(C205-C206),0),0)</f>
        <v>0</v>
      </c>
      <c r="D208" s="74" t="s">
        <v>114</v>
      </c>
      <c r="E208" s="51" t="str">
        <f t="shared" si="15"/>
        <v>(0 kWh)</v>
      </c>
      <c r="F208" s="462"/>
      <c r="G208" s="346"/>
    </row>
    <row r="209" spans="1:7" ht="15" customHeight="1">
      <c r="A209" s="433" t="s">
        <v>264</v>
      </c>
      <c r="B209" s="276"/>
      <c r="C209" s="88" t="e">
        <f>$D$35*$D$36*IF(C205&gt;C206,(C205-C206),0)</f>
        <v>#N/A</v>
      </c>
      <c r="D209" s="74" t="s">
        <v>114</v>
      </c>
      <c r="E209" s="51" t="e">
        <f t="shared" si="15"/>
        <v>#N/A</v>
      </c>
      <c r="F209" s="462"/>
      <c r="G209" s="346"/>
    </row>
    <row r="210" spans="1:7" ht="15" customHeight="1">
      <c r="A210" s="433" t="s">
        <v>266</v>
      </c>
      <c r="B210" s="276"/>
      <c r="C210" s="88" t="e">
        <f>C207+C208+C209</f>
        <v>#N/A</v>
      </c>
      <c r="D210" s="74" t="s">
        <v>114</v>
      </c>
      <c r="E210" s="51" t="e">
        <f t="shared" si="15"/>
        <v>#N/A</v>
      </c>
      <c r="F210" s="462"/>
      <c r="G210" s="346"/>
    </row>
    <row r="211" spans="1:7" ht="15" customHeight="1">
      <c r="A211" s="433" t="s">
        <v>250</v>
      </c>
      <c r="B211" s="276"/>
      <c r="C211" s="88" t="e">
        <f>C210*(1-D7)</f>
        <v>#N/A</v>
      </c>
      <c r="D211" s="74" t="s">
        <v>114</v>
      </c>
      <c r="E211" s="51" t="e">
        <f>"("&amp;ROUND(C211/1000,3)&amp;" kWh)"</f>
        <v>#N/A</v>
      </c>
      <c r="F211" s="462"/>
      <c r="G211" s="346"/>
    </row>
    <row r="212" spans="1:7" ht="15" customHeight="1">
      <c r="A212" s="433" t="s">
        <v>304</v>
      </c>
      <c r="B212" s="276"/>
      <c r="C212" s="88" t="e">
        <f>C210*24</f>
        <v>#N/A</v>
      </c>
      <c r="D212" s="74" t="s">
        <v>114</v>
      </c>
      <c r="E212" s="51" t="e">
        <f t="shared" si="15"/>
        <v>#N/A</v>
      </c>
      <c r="F212" s="462"/>
      <c r="G212" s="346"/>
    </row>
    <row r="213" spans="1:7" ht="15" customHeight="1">
      <c r="A213" s="433" t="s">
        <v>251</v>
      </c>
      <c r="B213" s="276"/>
      <c r="C213" s="88" t="e">
        <f>C212*(1-D7)</f>
        <v>#N/A</v>
      </c>
      <c r="D213" s="74" t="s">
        <v>114</v>
      </c>
      <c r="E213" s="51" t="e">
        <f>"("&amp;ROUND(C213/1000,3)&amp;" kWh)"</f>
        <v>#N/A</v>
      </c>
      <c r="F213" s="462"/>
      <c r="G213" s="346"/>
    </row>
    <row r="214" spans="1:7" ht="15" customHeight="1">
      <c r="A214" s="308" t="s">
        <v>222</v>
      </c>
      <c r="B214" s="350"/>
      <c r="C214" s="58" t="e">
        <f>C210*24*C203</f>
        <v>#N/A</v>
      </c>
      <c r="D214" s="57" t="s">
        <v>114</v>
      </c>
      <c r="E214" s="181" t="e">
        <f t="shared" si="15"/>
        <v>#N/A</v>
      </c>
      <c r="F214" s="462"/>
      <c r="G214" s="346"/>
    </row>
    <row r="215" spans="1:7" ht="15" customHeight="1" thickBot="1">
      <c r="A215" s="467" t="s">
        <v>306</v>
      </c>
      <c r="B215" s="469"/>
      <c r="C215" s="76" t="e">
        <f>C214*(1-$D$7)</f>
        <v>#N/A</v>
      </c>
      <c r="D215" s="57" t="s">
        <v>114</v>
      </c>
      <c r="E215" s="181" t="e">
        <f t="shared" si="15"/>
        <v>#N/A</v>
      </c>
      <c r="F215" s="449"/>
      <c r="G215" s="450"/>
    </row>
    <row r="216" spans="1:7" ht="15" customHeight="1" thickBot="1">
      <c r="A216" s="381"/>
      <c r="B216" s="382"/>
      <c r="C216" s="382"/>
      <c r="D216" s="382"/>
      <c r="E216" s="382"/>
      <c r="F216" s="382"/>
      <c r="G216" s="383"/>
    </row>
    <row r="217" spans="1:7" ht="15" customHeight="1">
      <c r="A217" s="301" t="str">
        <f>"Valeurs pour le mois "&amp;IF(OR($D$4="avril",$D$4="août",$D$4="octobre"),"d'","de ")&amp;$D$4</f>
        <v>Valeurs pour le mois de 0</v>
      </c>
      <c r="B217" s="302"/>
      <c r="C217" s="302"/>
      <c r="D217" s="302"/>
      <c r="E217" s="302"/>
      <c r="F217" s="302"/>
      <c r="G217" s="303"/>
    </row>
    <row r="218" spans="1:7" ht="15" customHeight="1">
      <c r="A218" s="308" t="str">
        <f>"Nombre de jours du mois "&amp;IF(OR(D4="avril",D4="août",D4="octobre"),"d'","de ")&amp;IF(D4&lt;&gt;0,D4,"")&amp;" :"</f>
        <v>Nombre de jours du mois de  :</v>
      </c>
      <c r="B218" s="350"/>
      <c r="C218" s="52">
        <f>'Logement (1)'!$C$53</f>
        <v>31</v>
      </c>
      <c r="D218" s="74" t="s">
        <v>164</v>
      </c>
      <c r="E218" s="415"/>
      <c r="F218" s="460"/>
      <c r="G218" s="316"/>
    </row>
    <row r="219" spans="1:7" ht="15" customHeight="1">
      <c r="A219" s="308" t="str">
        <f>"Nombre de jours de chauffage hors vacances pour le mois "&amp;IF(OR($D$4="avril",$D$4="août",$D$4="octobre"),"d'","de ")&amp;IF(D4&lt;&gt;0,D4,"")&amp;" :"</f>
        <v>Nombre de jours de chauffage hors vacances pour le mois de  :</v>
      </c>
      <c r="B219" s="350"/>
      <c r="C219" s="52">
        <f>'Logement (1)'!C56</f>
        <v>31</v>
      </c>
      <c r="D219" s="52" t="s">
        <v>164</v>
      </c>
      <c r="E219" s="361"/>
      <c r="F219" s="350"/>
      <c r="G219" s="316"/>
    </row>
    <row r="220" spans="1:7" ht="15" customHeight="1">
      <c r="A220" s="308" t="str">
        <f>"Pertes thermiques des jours restants (hors vacances) pour le mois "&amp;IF(OR($D$4="avril",$D$4="août",$D$4="octobre"),"d'","de ")&amp;IF(D4&lt;&gt;0,D4,"")&amp;" :"</f>
        <v>Pertes thermiques des jours restants (hors vacances) pour le mois de  :</v>
      </c>
      <c r="B220" s="350"/>
      <c r="C220" s="58" t="e">
        <f>C199*(C219/7)</f>
        <v>#N/A</v>
      </c>
      <c r="D220" s="57" t="s">
        <v>114</v>
      </c>
      <c r="E220" s="181" t="e">
        <f>"("&amp;ROUND(C220/1000,3)&amp;" kWh)"</f>
        <v>#N/A</v>
      </c>
      <c r="F220" s="350"/>
      <c r="G220" s="316"/>
    </row>
    <row r="221" spans="1:7" ht="15" customHeight="1">
      <c r="A221" s="308" t="str">
        <f>"Pertes thermiques totales du mois "&amp;IF(OR($D$4="avril",$D$4="août",$D$4="octobre"),"d'","de ")&amp;IF(D4&lt;&gt;0,D4,"")&amp;" :"</f>
        <v>Pertes thermiques totales du mois de  :</v>
      </c>
      <c r="B221" s="350"/>
      <c r="C221" s="58" t="e">
        <f>C220+C214</f>
        <v>#N/A</v>
      </c>
      <c r="D221" s="57" t="s">
        <v>114</v>
      </c>
      <c r="E221" s="181" t="e">
        <f>"("&amp;ROUND(C221/1000,3)&amp;" kWh)"</f>
        <v>#N/A</v>
      </c>
      <c r="F221" s="350"/>
      <c r="G221" s="316"/>
    </row>
    <row r="222" spans="1:7" ht="15" customHeight="1">
      <c r="A222" s="433"/>
      <c r="B222" s="275"/>
      <c r="C222" s="275"/>
      <c r="D222" s="275"/>
      <c r="E222" s="276"/>
      <c r="F222" s="415"/>
      <c r="G222" s="426"/>
    </row>
    <row r="223" spans="1:7" ht="15" customHeight="1" thickBot="1">
      <c r="A223" s="341" t="str">
        <f>"Pertes thermiques totales récupérables pour le mois "&amp;IF(OR($D$4="avril",$D$4="août",$D$4="octobre"),"d'","de ")&amp;IF(D4&lt;&gt;0,D4,"")&amp;" :"</f>
        <v>Pertes thermiques totales récupérables pour le mois de  :</v>
      </c>
      <c r="B223" s="342"/>
      <c r="C223" s="65" t="e">
        <f>C221*(1-$D$7)</f>
        <v>#N/A</v>
      </c>
      <c r="D223" s="64" t="s">
        <v>114</v>
      </c>
      <c r="E223" s="185" t="e">
        <f>"("&amp;ROUND(C223/1000,3)&amp;" kWh)"</f>
        <v>#N/A</v>
      </c>
      <c r="F223" s="342"/>
      <c r="G223" s="315"/>
    </row>
  </sheetData>
  <sheetProtection sheet="1" objects="1" scenarios="1" selectLockedCells="1"/>
  <mergeCells count="134">
    <mergeCell ref="F27:G36"/>
    <mergeCell ref="A27:C27"/>
    <mergeCell ref="A28:C28"/>
    <mergeCell ref="A29:C29"/>
    <mergeCell ref="A30:C30"/>
    <mergeCell ref="A31:C31"/>
    <mergeCell ref="A32:C32"/>
    <mergeCell ref="A33:C33"/>
    <mergeCell ref="A34:C34"/>
    <mergeCell ref="B191:D191"/>
    <mergeCell ref="A193:G193"/>
    <mergeCell ref="A214:B214"/>
    <mergeCell ref="F203:G215"/>
    <mergeCell ref="A215:B215"/>
    <mergeCell ref="B192:D192"/>
    <mergeCell ref="A171:A192"/>
    <mergeCell ref="A196:B196"/>
    <mergeCell ref="A198:B198"/>
    <mergeCell ref="A200:B200"/>
    <mergeCell ref="G159:G161"/>
    <mergeCell ref="C171:C180"/>
    <mergeCell ref="G171:G174"/>
    <mergeCell ref="C181:C190"/>
    <mergeCell ref="G181:G183"/>
    <mergeCell ref="G127:G130"/>
    <mergeCell ref="C137:C146"/>
    <mergeCell ref="G137:G139"/>
    <mergeCell ref="C149:C158"/>
    <mergeCell ref="G149:G152"/>
    <mergeCell ref="G105:G108"/>
    <mergeCell ref="C115:C124"/>
    <mergeCell ref="G115:G117"/>
    <mergeCell ref="B81:D81"/>
    <mergeCell ref="B83:B102"/>
    <mergeCell ref="C83:C92"/>
    <mergeCell ref="G83:G86"/>
    <mergeCell ref="G93:G95"/>
    <mergeCell ref="B105:B124"/>
    <mergeCell ref="B104:D104"/>
    <mergeCell ref="E218:E219"/>
    <mergeCell ref="A222:E222"/>
    <mergeCell ref="A216:G216"/>
    <mergeCell ref="A207:B207"/>
    <mergeCell ref="A208:B208"/>
    <mergeCell ref="A209:B209"/>
    <mergeCell ref="A210:B210"/>
    <mergeCell ref="A213:B213"/>
    <mergeCell ref="A211:B211"/>
    <mergeCell ref="A220:B220"/>
    <mergeCell ref="A221:B221"/>
    <mergeCell ref="A223:B223"/>
    <mergeCell ref="A219:B219"/>
    <mergeCell ref="G39:G42"/>
    <mergeCell ref="G61:G64"/>
    <mergeCell ref="A39:A60"/>
    <mergeCell ref="B60:D60"/>
    <mergeCell ref="A61:A82"/>
    <mergeCell ref="B61:B80"/>
    <mergeCell ref="C61:C70"/>
    <mergeCell ref="C71:C80"/>
    <mergeCell ref="B82:D82"/>
    <mergeCell ref="G71:G73"/>
    <mergeCell ref="A83:A104"/>
    <mergeCell ref="B103:D103"/>
    <mergeCell ref="C93:C102"/>
    <mergeCell ref="C105:C114"/>
    <mergeCell ref="B127:B146"/>
    <mergeCell ref="B126:D126"/>
    <mergeCell ref="A127:A148"/>
    <mergeCell ref="B147:D147"/>
    <mergeCell ref="C127:C136"/>
    <mergeCell ref="B148:D148"/>
    <mergeCell ref="A105:A126"/>
    <mergeCell ref="B125:D125"/>
    <mergeCell ref="A149:A170"/>
    <mergeCell ref="B170:D170"/>
    <mergeCell ref="B169:D169"/>
    <mergeCell ref="C159:C168"/>
    <mergeCell ref="F195:G200"/>
    <mergeCell ref="A9:G9"/>
    <mergeCell ref="A10:G10"/>
    <mergeCell ref="A17:G17"/>
    <mergeCell ref="A18:G18"/>
    <mergeCell ref="A19:G19"/>
    <mergeCell ref="A37:G37"/>
    <mergeCell ref="A194:G194"/>
    <mergeCell ref="A199:B199"/>
    <mergeCell ref="B149:B168"/>
    <mergeCell ref="A202:G202"/>
    <mergeCell ref="A203:B203"/>
    <mergeCell ref="A218:B218"/>
    <mergeCell ref="E203:E206"/>
    <mergeCell ref="A206:B206"/>
    <mergeCell ref="A205:B205"/>
    <mergeCell ref="A204:B204"/>
    <mergeCell ref="A212:B212"/>
    <mergeCell ref="F218:G223"/>
    <mergeCell ref="A217:G217"/>
    <mergeCell ref="A197:B197"/>
    <mergeCell ref="A201:G201"/>
    <mergeCell ref="A195:B195"/>
    <mergeCell ref="A38:G38"/>
    <mergeCell ref="B39:B58"/>
    <mergeCell ref="C39:C48"/>
    <mergeCell ref="C49:C58"/>
    <mergeCell ref="G49:G51"/>
    <mergeCell ref="B59:D59"/>
    <mergeCell ref="B171:B190"/>
    <mergeCell ref="A8:C8"/>
    <mergeCell ref="F11:G16"/>
    <mergeCell ref="A7:C7"/>
    <mergeCell ref="F2:G8"/>
    <mergeCell ref="A11:C11"/>
    <mergeCell ref="A2:E2"/>
    <mergeCell ref="A3:C3"/>
    <mergeCell ref="A4:C4"/>
    <mergeCell ref="A5:C5"/>
    <mergeCell ref="A6:C6"/>
    <mergeCell ref="A26:G26"/>
    <mergeCell ref="A20:C20"/>
    <mergeCell ref="A21:C21"/>
    <mergeCell ref="A22:C22"/>
    <mergeCell ref="A23:C23"/>
    <mergeCell ref="F20:G24"/>
    <mergeCell ref="A1:G1"/>
    <mergeCell ref="A12:C12"/>
    <mergeCell ref="A35:C35"/>
    <mergeCell ref="A36:C36"/>
    <mergeCell ref="A13:C13"/>
    <mergeCell ref="A14:C14"/>
    <mergeCell ref="A15:C15"/>
    <mergeCell ref="A16:C16"/>
    <mergeCell ref="A24:C24"/>
    <mergeCell ref="A25:G25"/>
  </mergeCells>
  <dataValidations count="1">
    <dataValidation type="list" allowBlank="1" showInputMessage="1" showErrorMessage="1" sqref="D8">
      <formula1>"Radiateurs,Plancher chauffant"</formula1>
    </dataValidation>
  </dataValidations>
  <printOptions/>
  <pageMargins left="0.75" right="0.75" top="1" bottom="1" header="0.4921259845" footer="0.4921259845"/>
  <pageSetup orientation="portrait" paperSize="9" r:id="rId1"/>
  <ignoredErrors>
    <ignoredError sqref="E59 E103 E125 E81 E147 E169 E191" formula="1"/>
  </ignoredErrors>
</worksheet>
</file>

<file path=xl/worksheets/sheet7.xml><?xml version="1.0" encoding="utf-8"?>
<worksheet xmlns="http://schemas.openxmlformats.org/spreadsheetml/2006/main" xmlns:r="http://schemas.openxmlformats.org/officeDocument/2006/relationships">
  <sheetPr codeName="Feuil8"/>
  <dimension ref="A1:E6"/>
  <sheetViews>
    <sheetView showGridLines="0" workbookViewId="0" topLeftCell="A1">
      <selection activeCell="C4" sqref="C4"/>
    </sheetView>
  </sheetViews>
  <sheetFormatPr defaultColWidth="11.421875" defaultRowHeight="12.75"/>
  <cols>
    <col min="1" max="1" width="21.7109375" style="0" customWidth="1"/>
    <col min="2" max="2" width="20.57421875" style="0" customWidth="1"/>
    <col min="3" max="3" width="16.421875" style="0" customWidth="1"/>
    <col min="4" max="4" width="5.00390625" style="0" customWidth="1"/>
    <col min="5" max="5" width="18.28125" style="0" customWidth="1"/>
  </cols>
  <sheetData>
    <row r="1" spans="1:5" ht="15" customHeight="1" thickBot="1">
      <c r="A1" s="479" t="s">
        <v>142</v>
      </c>
      <c r="B1" s="480"/>
      <c r="C1" s="480"/>
      <c r="D1" s="480"/>
      <c r="E1" s="481"/>
    </row>
    <row r="2" spans="1:5" ht="15" customHeight="1">
      <c r="A2" s="482"/>
      <c r="B2" s="483"/>
      <c r="C2" s="483"/>
      <c r="D2" s="483"/>
      <c r="E2" s="484"/>
    </row>
    <row r="3" spans="1:5" ht="15" customHeight="1">
      <c r="A3" s="477" t="s">
        <v>146</v>
      </c>
      <c r="B3" s="478"/>
      <c r="C3" s="102">
        <f>'Logement (1)'!D6</f>
        <v>0</v>
      </c>
      <c r="D3" s="24" t="s">
        <v>24</v>
      </c>
      <c r="E3" s="485"/>
    </row>
    <row r="4" spans="1:5" ht="15" customHeight="1">
      <c r="A4" s="477" t="s">
        <v>143</v>
      </c>
      <c r="B4" s="478"/>
      <c r="C4" s="40" t="s">
        <v>145</v>
      </c>
      <c r="D4" s="45" t="s">
        <v>4</v>
      </c>
      <c r="E4" s="485"/>
    </row>
    <row r="5" spans="1:5" ht="15" customHeight="1">
      <c r="A5" s="486"/>
      <c r="B5" s="487"/>
      <c r="C5" s="487"/>
      <c r="D5" s="487"/>
      <c r="E5" s="488"/>
    </row>
    <row r="6" spans="1:5" ht="15" customHeight="1" thickBot="1">
      <c r="A6" s="475" t="s">
        <v>144</v>
      </c>
      <c r="B6" s="476"/>
      <c r="C6" s="36">
        <f>IF(C4="Très légère",80,IF(C4="Légère",110,IF(C4="Lourde",260,IF(C4="Très lourde",370,165))))/3.6*C3</f>
        <v>0</v>
      </c>
      <c r="D6" s="48" t="s">
        <v>114</v>
      </c>
      <c r="E6" s="49" t="str">
        <f>"("&amp;ROUND(C6/1000,3)&amp;" kWh)"</f>
        <v>(0 kWh)</v>
      </c>
    </row>
  </sheetData>
  <sheetProtection sheet="1" objects="1" scenarios="1" selectLockedCells="1"/>
  <mergeCells count="7">
    <mergeCell ref="A6:B6"/>
    <mergeCell ref="A4:B4"/>
    <mergeCell ref="A3:B3"/>
    <mergeCell ref="A1:E1"/>
    <mergeCell ref="A2:E2"/>
    <mergeCell ref="E3:E4"/>
    <mergeCell ref="A5:E5"/>
  </mergeCells>
  <dataValidations count="1">
    <dataValidation type="list" allowBlank="1" showInputMessage="1" showErrorMessage="1" sqref="C4">
      <formula1>"Très légère,Légère,Moyenne,Lourde,Très lourde"</formula1>
    </dataValidation>
  </dataValidation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L141"/>
  <sheetViews>
    <sheetView showGridLines="0" workbookViewId="0" topLeftCell="A1">
      <selection activeCell="I11" sqref="I11"/>
    </sheetView>
  </sheetViews>
  <sheetFormatPr defaultColWidth="11.421875" defaultRowHeight="12.75"/>
  <cols>
    <col min="1" max="1" width="36.57421875" style="0" customWidth="1"/>
    <col min="2" max="2" width="37.57421875" style="0" customWidth="1"/>
    <col min="3" max="3" width="13.28125" style="0" customWidth="1"/>
    <col min="4" max="4" width="20.421875" style="0" customWidth="1"/>
    <col min="5" max="5" width="15.7109375" style="0" customWidth="1"/>
    <col min="6" max="6" width="5.140625" style="0" customWidth="1"/>
    <col min="7" max="7" width="14.7109375" style="0" customWidth="1"/>
  </cols>
  <sheetData>
    <row r="1" spans="1:9" ht="15" customHeight="1" thickBot="1">
      <c r="A1" s="479" t="s">
        <v>147</v>
      </c>
      <c r="B1" s="480"/>
      <c r="C1" s="480"/>
      <c r="D1" s="480"/>
      <c r="E1" s="480"/>
      <c r="F1" s="480"/>
      <c r="G1" s="481"/>
      <c r="H1" s="18"/>
      <c r="I1" s="18"/>
    </row>
    <row r="2" spans="1:9" ht="15" customHeight="1">
      <c r="A2" s="354"/>
      <c r="B2" s="355"/>
      <c r="C2" s="355"/>
      <c r="D2" s="355"/>
      <c r="E2" s="355"/>
      <c r="F2" s="355"/>
      <c r="G2" s="356"/>
      <c r="H2" s="19"/>
      <c r="I2" s="19"/>
    </row>
    <row r="3" spans="1:7" ht="15" customHeight="1">
      <c r="A3" s="486" t="s">
        <v>504</v>
      </c>
      <c r="B3" s="497"/>
      <c r="C3" s="103">
        <f>'Logement (1)'!D4</f>
        <v>0</v>
      </c>
      <c r="D3" s="45" t="s">
        <v>4</v>
      </c>
      <c r="E3" s="491"/>
      <c r="F3" s="498"/>
      <c r="G3" s="492"/>
    </row>
    <row r="4" spans="1:7" ht="15" customHeight="1">
      <c r="A4" s="486" t="s">
        <v>6</v>
      </c>
      <c r="B4" s="497"/>
      <c r="C4" s="103">
        <f>'Logement (1)'!D10</f>
        <v>0</v>
      </c>
      <c r="D4" s="45" t="s">
        <v>4</v>
      </c>
      <c r="E4" s="493"/>
      <c r="F4" s="499"/>
      <c r="G4" s="494"/>
    </row>
    <row r="5" spans="1:7" ht="15" customHeight="1">
      <c r="A5" s="486" t="s">
        <v>3</v>
      </c>
      <c r="B5" s="497"/>
      <c r="C5" s="24">
        <f>'Logement (1)'!D5</f>
        <v>0</v>
      </c>
      <c r="D5" s="24" t="s">
        <v>5</v>
      </c>
      <c r="E5" s="500"/>
      <c r="F5" s="355"/>
      <c r="G5" s="356"/>
    </row>
    <row r="6" spans="1:7" ht="15" customHeight="1">
      <c r="A6" s="477"/>
      <c r="B6" s="478"/>
      <c r="C6" s="478"/>
      <c r="D6" s="478"/>
      <c r="E6" s="478"/>
      <c r="F6" s="478"/>
      <c r="G6" s="485"/>
    </row>
    <row r="7" spans="1:12" ht="15" customHeight="1">
      <c r="A7" s="477" t="s">
        <v>309</v>
      </c>
      <c r="B7" s="478"/>
      <c r="C7" s="72">
        <f>'Apports occupants (2)'!B3+'Apports solaires (3)'!E19</f>
        <v>0</v>
      </c>
      <c r="D7" s="24" t="s">
        <v>114</v>
      </c>
      <c r="E7" s="24" t="str">
        <f>"("&amp;ROUND(C7/1000,3)&amp;" kWh)"</f>
        <v>(0 kWh)</v>
      </c>
      <c r="F7" s="491"/>
      <c r="G7" s="492"/>
      <c r="I7" s="19"/>
      <c r="J7" s="19"/>
      <c r="K7" s="19"/>
      <c r="L7" s="19"/>
    </row>
    <row r="8" spans="1:12" ht="15" customHeight="1">
      <c r="A8" s="486" t="str">
        <f>"Température moyenne extérieure du mois "&amp;IF(OR(C4="avril",C4="août",C4="octobre"),"d'","de ")&amp;IF(C4&lt;&gt;0,C4,"")&amp;" :"</f>
        <v>Température moyenne extérieure du mois de  :</v>
      </c>
      <c r="B8" s="497"/>
      <c r="C8" s="24" t="e">
        <f>'Logement (1)'!D11</f>
        <v>#N/A</v>
      </c>
      <c r="D8" s="24" t="s">
        <v>7</v>
      </c>
      <c r="E8" s="24"/>
      <c r="F8" s="500"/>
      <c r="G8" s="356"/>
      <c r="I8" s="19"/>
      <c r="J8" s="19"/>
      <c r="K8" s="19"/>
      <c r="L8" s="19"/>
    </row>
    <row r="9" spans="1:12" ht="15" customHeight="1" thickBot="1">
      <c r="A9" s="503"/>
      <c r="B9" s="504"/>
      <c r="C9" s="504"/>
      <c r="D9" s="504"/>
      <c r="E9" s="504"/>
      <c r="F9" s="504"/>
      <c r="G9" s="505"/>
      <c r="I9" s="19"/>
      <c r="J9" s="19"/>
      <c r="K9" s="19"/>
      <c r="L9" s="19"/>
    </row>
    <row r="10" spans="1:12" ht="15" customHeight="1" thickBot="1">
      <c r="A10" s="506" t="s">
        <v>148</v>
      </c>
      <c r="B10" s="507"/>
      <c r="C10" s="507"/>
      <c r="D10" s="507"/>
      <c r="E10" s="508"/>
      <c r="F10" s="508"/>
      <c r="G10" s="509"/>
      <c r="I10" s="19"/>
      <c r="J10" s="19"/>
      <c r="K10" s="19"/>
      <c r="L10" s="19"/>
    </row>
    <row r="11" spans="1:12" ht="15" customHeight="1">
      <c r="A11" s="510" t="s">
        <v>149</v>
      </c>
      <c r="B11" s="510" t="s">
        <v>155</v>
      </c>
      <c r="C11" s="516" t="s">
        <v>150</v>
      </c>
      <c r="D11" s="37" t="s">
        <v>151</v>
      </c>
      <c r="E11" s="104">
        <f>'Logement (1)'!E14</f>
        <v>0</v>
      </c>
      <c r="F11" s="37" t="s">
        <v>7</v>
      </c>
      <c r="G11" s="501"/>
      <c r="I11" s="2"/>
      <c r="J11" s="19"/>
      <c r="K11" s="19"/>
      <c r="L11" s="19"/>
    </row>
    <row r="12" spans="1:12" ht="15" customHeight="1">
      <c r="A12" s="511"/>
      <c r="B12" s="511"/>
      <c r="C12" s="517"/>
      <c r="D12" s="24" t="s">
        <v>152</v>
      </c>
      <c r="E12" s="43">
        <f>'Logement (1)'!E15</f>
        <v>0</v>
      </c>
      <c r="F12" s="24" t="s">
        <v>8</v>
      </c>
      <c r="G12" s="502"/>
      <c r="I12" s="19"/>
      <c r="J12" s="19"/>
      <c r="K12" s="19"/>
      <c r="L12" s="19"/>
    </row>
    <row r="13" spans="1:12" ht="15" customHeight="1">
      <c r="A13" s="511"/>
      <c r="B13" s="511"/>
      <c r="C13" s="517"/>
      <c r="D13" s="24" t="s">
        <v>153</v>
      </c>
      <c r="E13" s="72" t="e">
        <f>IF($C$8&gt;=E11,0,$C$5*(E11-$C$8)*E12)</f>
        <v>#N/A</v>
      </c>
      <c r="F13" s="24" t="s">
        <v>114</v>
      </c>
      <c r="G13" s="73" t="e">
        <f>"("&amp;ROUND(E13/1000,3)&amp;" kWh)"</f>
        <v>#N/A</v>
      </c>
      <c r="I13" s="19"/>
      <c r="J13" s="19"/>
      <c r="K13" s="19"/>
      <c r="L13" s="19"/>
    </row>
    <row r="14" spans="1:12" ht="15" customHeight="1">
      <c r="A14" s="511"/>
      <c r="B14" s="511"/>
      <c r="C14" s="517"/>
      <c r="D14" s="24" t="s">
        <v>272</v>
      </c>
      <c r="E14" s="38" t="e">
        <f>($C$7*E12)+'Apports récupérables ECS (4)'!F73+'Apports récupérables CH (6)'!E48</f>
        <v>#N/A</v>
      </c>
      <c r="F14" s="24" t="s">
        <v>114</v>
      </c>
      <c r="G14" s="73" t="e">
        <f>"("&amp;ROUND(E14/1000,3)&amp;" kWh)"</f>
        <v>#N/A</v>
      </c>
      <c r="I14" s="19"/>
      <c r="J14" s="19"/>
      <c r="K14" s="19"/>
      <c r="L14" s="19"/>
    </row>
    <row r="15" spans="1:12" ht="15" customHeight="1">
      <c r="A15" s="511"/>
      <c r="B15" s="511"/>
      <c r="C15" s="517"/>
      <c r="D15" s="43" t="s">
        <v>169</v>
      </c>
      <c r="E15" s="72">
        <f>IF(ISERROR(E14/E13),0,IF((E14/E13)&lt;&gt;1,(1-(E14/E13)^IF(E6&gt;12,1+('Inertie thermique (7)'!$C$6/$C$5)/16,2.5))/(1-(E14/E13)^(IF(E6&gt;12,1+('Inertie thermique (7)'!$C$6/$C$5)/16,2.5)+1)),IF(E6&gt;12,1+('Inertie thermique (7)'!$C$6/$C$5)/16,2.5)/(IF(E6&gt;12,1+('Inertie thermique (7)'!$C$6/$C$5)/16,2.5)+1)))</f>
        <v>0</v>
      </c>
      <c r="F15" s="41" t="s">
        <v>4</v>
      </c>
      <c r="G15" s="34"/>
      <c r="I15" s="19"/>
      <c r="J15" s="19"/>
      <c r="K15" s="19"/>
      <c r="L15" s="19"/>
    </row>
    <row r="16" spans="1:12" ht="15" customHeight="1" thickBot="1">
      <c r="A16" s="511"/>
      <c r="B16" s="511"/>
      <c r="C16" s="513"/>
      <c r="D16" s="28" t="s">
        <v>216</v>
      </c>
      <c r="E16" s="70" t="e">
        <f>E13-E14*E15</f>
        <v>#N/A</v>
      </c>
      <c r="F16" s="28" t="s">
        <v>114</v>
      </c>
      <c r="G16" s="105" t="e">
        <f>"("&amp;ROUND(E16/1000,3)&amp;" kWh)"</f>
        <v>#N/A</v>
      </c>
      <c r="I16" s="19"/>
      <c r="J16" s="19"/>
      <c r="K16" s="19"/>
      <c r="L16" s="19"/>
    </row>
    <row r="17" spans="1:12" ht="15" customHeight="1">
      <c r="A17" s="511"/>
      <c r="B17" s="511"/>
      <c r="C17" s="516" t="s">
        <v>154</v>
      </c>
      <c r="D17" s="37" t="s">
        <v>151</v>
      </c>
      <c r="E17" s="104">
        <f>'Logement (1)'!E16</f>
        <v>0</v>
      </c>
      <c r="F17" s="37" t="s">
        <v>7</v>
      </c>
      <c r="G17" s="501"/>
      <c r="I17" s="19"/>
      <c r="J17" s="19"/>
      <c r="K17" s="19"/>
      <c r="L17" s="19"/>
    </row>
    <row r="18" spans="1:12" ht="15" customHeight="1">
      <c r="A18" s="511"/>
      <c r="B18" s="511"/>
      <c r="C18" s="517"/>
      <c r="D18" s="24" t="s">
        <v>152</v>
      </c>
      <c r="E18" s="43">
        <f>24-E12</f>
        <v>24</v>
      </c>
      <c r="F18" s="24" t="s">
        <v>8</v>
      </c>
      <c r="G18" s="502"/>
      <c r="I18" s="19"/>
      <c r="J18" s="19"/>
      <c r="K18" s="19"/>
      <c r="L18" s="19"/>
    </row>
    <row r="19" spans="1:12" ht="15" customHeight="1">
      <c r="A19" s="511"/>
      <c r="B19" s="512"/>
      <c r="C19" s="517"/>
      <c r="D19" s="24" t="s">
        <v>153</v>
      </c>
      <c r="E19" s="72" t="e">
        <f>IF($C$8&gt;=E17,0,$C$5*(E17-$C$8)*E18)</f>
        <v>#N/A</v>
      </c>
      <c r="F19" s="24" t="s">
        <v>114</v>
      </c>
      <c r="G19" s="73" t="e">
        <f>"("&amp;ROUND(E19/1000,3)&amp;" kWh)"</f>
        <v>#N/A</v>
      </c>
      <c r="I19" s="19"/>
      <c r="J19" s="19"/>
      <c r="K19" s="19"/>
      <c r="L19" s="19"/>
    </row>
    <row r="20" spans="1:12" ht="15" customHeight="1">
      <c r="A20" s="511"/>
      <c r="B20" s="512"/>
      <c r="C20" s="517"/>
      <c r="D20" s="24" t="s">
        <v>272</v>
      </c>
      <c r="E20" s="38" t="e">
        <f>($C$7*E18)+'Apports récupérables ECS (4)'!F82+'Apports récupérables CH (6)'!E58</f>
        <v>#N/A</v>
      </c>
      <c r="F20" s="24" t="s">
        <v>114</v>
      </c>
      <c r="G20" s="73" t="e">
        <f>"("&amp;ROUND(E20/1000,3)&amp;" kWh)"</f>
        <v>#N/A</v>
      </c>
      <c r="I20" s="19"/>
      <c r="J20" s="19"/>
      <c r="K20" s="19"/>
      <c r="L20" s="19"/>
    </row>
    <row r="21" spans="1:12" ht="15" customHeight="1">
      <c r="A21" s="511"/>
      <c r="B21" s="512"/>
      <c r="C21" s="517"/>
      <c r="D21" s="43" t="s">
        <v>169</v>
      </c>
      <c r="E21" s="72">
        <f>IF(ISERROR(E20/E19),0,IF((E20/E19)&lt;&gt;1,(1-(E20/E19)^IF(E12&gt;12,1+('Inertie thermique (7)'!$C$6/$C$5)/16,2.5))/(1-(E20/E19)^(IF(E12&gt;12,1+('Inertie thermique (7)'!$C$6/$C$5)/16,2.5)+1)),IF(E12&gt;12,1+('Inertie thermique (7)'!$C$6/$C$5)/16,2.5)/(IF(E12&gt;12,1+('Inertie thermique (7)'!$C$6/$C$5)/16,2.5)+1)))</f>
        <v>0</v>
      </c>
      <c r="F21" s="41" t="s">
        <v>4</v>
      </c>
      <c r="G21" s="34"/>
      <c r="I21" s="19"/>
      <c r="J21" s="19"/>
      <c r="K21" s="19"/>
      <c r="L21" s="19"/>
    </row>
    <row r="22" spans="1:12" ht="15" customHeight="1" thickBot="1">
      <c r="A22" s="511"/>
      <c r="B22" s="514"/>
      <c r="C22" s="513"/>
      <c r="D22" s="28" t="s">
        <v>216</v>
      </c>
      <c r="E22" s="70" t="e">
        <f>E19-E20*E21</f>
        <v>#N/A</v>
      </c>
      <c r="F22" s="28" t="s">
        <v>114</v>
      </c>
      <c r="G22" s="105" t="e">
        <f>"("&amp;ROUND(E22/1000,3)&amp;" kWh)"</f>
        <v>#N/A</v>
      </c>
      <c r="I22" s="19"/>
      <c r="J22" s="19"/>
      <c r="K22" s="19"/>
      <c r="L22" s="19"/>
    </row>
    <row r="23" spans="1:12" ht="15" customHeight="1">
      <c r="A23" s="512"/>
      <c r="B23" s="518" t="s">
        <v>307</v>
      </c>
      <c r="C23" s="519"/>
      <c r="D23" s="519"/>
      <c r="E23" s="92" t="e">
        <f>E13+E19</f>
        <v>#N/A</v>
      </c>
      <c r="F23" s="106" t="s">
        <v>114</v>
      </c>
      <c r="G23" s="107" t="e">
        <f>"("&amp;ROUND(E23/1000,3)&amp;" kWh)"</f>
        <v>#N/A</v>
      </c>
      <c r="I23" s="19"/>
      <c r="J23" s="19"/>
      <c r="K23" s="19"/>
      <c r="L23" s="19"/>
    </row>
    <row r="24" spans="1:12" ht="15" customHeight="1" thickBot="1">
      <c r="A24" s="514"/>
      <c r="B24" s="475" t="s">
        <v>308</v>
      </c>
      <c r="C24" s="476"/>
      <c r="D24" s="476"/>
      <c r="E24" s="79" t="e">
        <f>E16+E22</f>
        <v>#N/A</v>
      </c>
      <c r="F24" s="77" t="s">
        <v>114</v>
      </c>
      <c r="G24" s="78" t="e">
        <f>"("&amp;ROUND(E24/1000,3)&amp;" kWh)"</f>
        <v>#N/A</v>
      </c>
      <c r="I24" s="19"/>
      <c r="J24" s="19"/>
      <c r="K24" s="19"/>
      <c r="L24" s="19"/>
    </row>
    <row r="25" spans="1:12" ht="15" customHeight="1">
      <c r="A25" s="510" t="s">
        <v>156</v>
      </c>
      <c r="B25" s="520" t="s">
        <v>155</v>
      </c>
      <c r="C25" s="516" t="s">
        <v>150</v>
      </c>
      <c r="D25" s="37" t="s">
        <v>151</v>
      </c>
      <c r="E25" s="104">
        <f>'Logement (1)'!E18</f>
        <v>0</v>
      </c>
      <c r="F25" s="37" t="s">
        <v>7</v>
      </c>
      <c r="G25" s="501"/>
      <c r="I25" s="19"/>
      <c r="J25" s="19"/>
      <c r="K25" s="19"/>
      <c r="L25" s="19"/>
    </row>
    <row r="26" spans="1:12" ht="15" customHeight="1">
      <c r="A26" s="511"/>
      <c r="B26" s="521"/>
      <c r="C26" s="517"/>
      <c r="D26" s="24" t="s">
        <v>152</v>
      </c>
      <c r="E26" s="43">
        <f>'Logement (1)'!E19</f>
        <v>0</v>
      </c>
      <c r="F26" s="24" t="s">
        <v>8</v>
      </c>
      <c r="G26" s="502"/>
      <c r="H26" s="19"/>
      <c r="I26" s="19"/>
      <c r="J26" s="19"/>
      <c r="K26" s="19"/>
      <c r="L26" s="19"/>
    </row>
    <row r="27" spans="1:12" ht="15" customHeight="1">
      <c r="A27" s="511"/>
      <c r="B27" s="521"/>
      <c r="C27" s="517"/>
      <c r="D27" s="24" t="s">
        <v>153</v>
      </c>
      <c r="E27" s="72" t="e">
        <f>IF($C$8&gt;=E25,0,$C$5*(E25-$C$8)*E26)</f>
        <v>#N/A</v>
      </c>
      <c r="F27" s="24" t="s">
        <v>114</v>
      </c>
      <c r="G27" s="73" t="e">
        <f>"("&amp;ROUND(E27/1000,3)&amp;" kWh)"</f>
        <v>#N/A</v>
      </c>
      <c r="H27" s="19"/>
      <c r="I27" s="19"/>
      <c r="J27" s="19"/>
      <c r="K27" s="19"/>
      <c r="L27" s="19"/>
    </row>
    <row r="28" spans="1:12" ht="15" customHeight="1">
      <c r="A28" s="511"/>
      <c r="B28" s="521"/>
      <c r="C28" s="517"/>
      <c r="D28" s="24" t="s">
        <v>272</v>
      </c>
      <c r="E28" s="38" t="e">
        <f>($C$7*E26)+'Apports récupérables ECS (4)'!F107+'Apports récupérables CH (6)'!E70</f>
        <v>#N/A</v>
      </c>
      <c r="F28" s="24" t="s">
        <v>114</v>
      </c>
      <c r="G28" s="73" t="e">
        <f>"("&amp;ROUND(E28/1000,3)&amp;" kWh)"</f>
        <v>#N/A</v>
      </c>
      <c r="H28" s="19"/>
      <c r="I28" s="19"/>
      <c r="J28" s="19"/>
      <c r="K28" s="19"/>
      <c r="L28" s="19"/>
    </row>
    <row r="29" spans="1:12" ht="15" customHeight="1">
      <c r="A29" s="511"/>
      <c r="B29" s="521"/>
      <c r="C29" s="517"/>
      <c r="D29" s="43" t="s">
        <v>169</v>
      </c>
      <c r="E29" s="72">
        <f>IF(ISERROR(E28/E27),0,IF((E28/E27)&lt;&gt;1,(1-(E28/E27)^IF(E20&gt;12,1+('Inertie thermique (7)'!$C$6/$C$5)/16,2.5))/(1-(E28/E27)^(IF(E20&gt;12,1+('Inertie thermique (7)'!$C$6/$C$5)/16,2.5)+1)),IF(E20&gt;12,1+('Inertie thermique (7)'!$C$6/$C$5)/16,2.5)/(IF(E20&gt;12,1+('Inertie thermique (7)'!$C$6/$C$5)/16,2.5)+1)))</f>
        <v>0</v>
      </c>
      <c r="F29" s="41" t="s">
        <v>4</v>
      </c>
      <c r="G29" s="34"/>
      <c r="H29" s="19"/>
      <c r="I29" s="19"/>
      <c r="J29" s="19"/>
      <c r="K29" s="19"/>
      <c r="L29" s="19"/>
    </row>
    <row r="30" spans="1:12" ht="15" customHeight="1" thickBot="1">
      <c r="A30" s="511"/>
      <c r="B30" s="521"/>
      <c r="C30" s="513"/>
      <c r="D30" s="28" t="s">
        <v>216</v>
      </c>
      <c r="E30" s="70" t="e">
        <f>E27-E28*E29</f>
        <v>#N/A</v>
      </c>
      <c r="F30" s="28" t="s">
        <v>114</v>
      </c>
      <c r="G30" s="105" t="e">
        <f>"("&amp;ROUND(E30/1000,3)&amp;" kWh)"</f>
        <v>#N/A</v>
      </c>
      <c r="I30" s="19"/>
      <c r="J30" s="19"/>
      <c r="K30" s="19"/>
      <c r="L30" s="19"/>
    </row>
    <row r="31" spans="1:7" ht="15" customHeight="1">
      <c r="A31" s="511"/>
      <c r="B31" s="521"/>
      <c r="C31" s="516" t="s">
        <v>154</v>
      </c>
      <c r="D31" s="37" t="s">
        <v>151</v>
      </c>
      <c r="E31" s="104">
        <f>'Logement (1)'!E20</f>
        <v>0</v>
      </c>
      <c r="F31" s="37" t="s">
        <v>7</v>
      </c>
      <c r="G31" s="501"/>
    </row>
    <row r="32" spans="1:7" ht="15" customHeight="1">
      <c r="A32" s="511"/>
      <c r="B32" s="521"/>
      <c r="C32" s="517"/>
      <c r="D32" s="24" t="s">
        <v>152</v>
      </c>
      <c r="E32" s="43">
        <f>24-E26</f>
        <v>24</v>
      </c>
      <c r="F32" s="24" t="s">
        <v>8</v>
      </c>
      <c r="G32" s="502"/>
    </row>
    <row r="33" spans="1:7" ht="15" customHeight="1">
      <c r="A33" s="511"/>
      <c r="B33" s="522"/>
      <c r="C33" s="517"/>
      <c r="D33" s="24" t="s">
        <v>153</v>
      </c>
      <c r="E33" s="72" t="e">
        <f>IF($C$8&gt;=E31,0,$C$5*(E31-$C$8)*E32)</f>
        <v>#N/A</v>
      </c>
      <c r="F33" s="24" t="s">
        <v>114</v>
      </c>
      <c r="G33" s="73" t="e">
        <f>"("&amp;ROUND(E33/1000,3)&amp;" kWh)"</f>
        <v>#N/A</v>
      </c>
    </row>
    <row r="34" spans="1:7" ht="15" customHeight="1">
      <c r="A34" s="511"/>
      <c r="B34" s="522"/>
      <c r="C34" s="517"/>
      <c r="D34" s="24" t="s">
        <v>272</v>
      </c>
      <c r="E34" s="38" t="e">
        <f>($C$7*E32)+'Apports récupérables ECS (4)'!F116+'Apports récupérables CH (6)'!E80</f>
        <v>#N/A</v>
      </c>
      <c r="F34" s="24" t="s">
        <v>114</v>
      </c>
      <c r="G34" s="73" t="e">
        <f>"("&amp;ROUND(E34/1000,3)&amp;" kWh)"</f>
        <v>#N/A</v>
      </c>
    </row>
    <row r="35" spans="1:7" ht="15" customHeight="1">
      <c r="A35" s="511"/>
      <c r="B35" s="522"/>
      <c r="C35" s="517"/>
      <c r="D35" s="43" t="s">
        <v>169</v>
      </c>
      <c r="E35" s="72">
        <f>IF(ISERROR(E34/E33),0,IF((E34/E33)&lt;&gt;1,(1-(E34/E33)^IF(E26&gt;12,1+('Inertie thermique (7)'!$C$6/$C$5)/16,2.5))/(1-(E34/E33)^(IF(E26&gt;12,1+('Inertie thermique (7)'!$C$6/$C$5)/16,2.5)+1)),IF(E26&gt;12,1+('Inertie thermique (7)'!$C$6/$C$5)/16,2.5)/(IF(E26&gt;12,1+('Inertie thermique (7)'!$C$6/$C$5)/16,2.5)+1)))</f>
        <v>0</v>
      </c>
      <c r="F35" s="41" t="s">
        <v>4</v>
      </c>
      <c r="G35" s="34"/>
    </row>
    <row r="36" spans="1:7" ht="15" customHeight="1" thickBot="1">
      <c r="A36" s="511"/>
      <c r="B36" s="523"/>
      <c r="C36" s="513"/>
      <c r="D36" s="28" t="s">
        <v>216</v>
      </c>
      <c r="E36" s="70" t="e">
        <f>E33-E34*E35</f>
        <v>#N/A</v>
      </c>
      <c r="F36" s="28" t="s">
        <v>114</v>
      </c>
      <c r="G36" s="105" t="e">
        <f>"("&amp;ROUND(E36/1000,3)&amp;" kWh)"</f>
        <v>#N/A</v>
      </c>
    </row>
    <row r="37" spans="1:7" ht="15" customHeight="1">
      <c r="A37" s="512"/>
      <c r="B37" s="518" t="s">
        <v>307</v>
      </c>
      <c r="C37" s="519"/>
      <c r="D37" s="519"/>
      <c r="E37" s="92" t="e">
        <f>E27+E33</f>
        <v>#N/A</v>
      </c>
      <c r="F37" s="106" t="s">
        <v>114</v>
      </c>
      <c r="G37" s="107" t="e">
        <f>"("&amp;ROUND(E37/1000,3)&amp;" kWh)"</f>
        <v>#N/A</v>
      </c>
    </row>
    <row r="38" spans="1:7" ht="15" customHeight="1" thickBot="1">
      <c r="A38" s="513"/>
      <c r="B38" s="475" t="s">
        <v>308</v>
      </c>
      <c r="C38" s="476"/>
      <c r="D38" s="476"/>
      <c r="E38" s="79" t="e">
        <f>E30+E36</f>
        <v>#N/A</v>
      </c>
      <c r="F38" s="77" t="s">
        <v>114</v>
      </c>
      <c r="G38" s="78" t="e">
        <f>"("&amp;ROUND(E38/1000,3)&amp;" kWh)"</f>
        <v>#N/A</v>
      </c>
    </row>
    <row r="39" spans="1:7" ht="15" customHeight="1">
      <c r="A39" s="510" t="s">
        <v>157</v>
      </c>
      <c r="B39" s="520" t="s">
        <v>155</v>
      </c>
      <c r="C39" s="516" t="s">
        <v>150</v>
      </c>
      <c r="D39" s="37" t="s">
        <v>151</v>
      </c>
      <c r="E39" s="104">
        <f>'Logement (1)'!E22</f>
        <v>0</v>
      </c>
      <c r="F39" s="37" t="s">
        <v>7</v>
      </c>
      <c r="G39" s="501"/>
    </row>
    <row r="40" spans="1:7" ht="15" customHeight="1">
      <c r="A40" s="511"/>
      <c r="B40" s="521"/>
      <c r="C40" s="517"/>
      <c r="D40" s="24" t="s">
        <v>152</v>
      </c>
      <c r="E40" s="43">
        <f>'Logement (1)'!E23</f>
        <v>0</v>
      </c>
      <c r="F40" s="24" t="s">
        <v>8</v>
      </c>
      <c r="G40" s="502"/>
    </row>
    <row r="41" spans="1:7" ht="15" customHeight="1">
      <c r="A41" s="511"/>
      <c r="B41" s="521"/>
      <c r="C41" s="517"/>
      <c r="D41" s="24" t="s">
        <v>153</v>
      </c>
      <c r="E41" s="72" t="e">
        <f>IF($C$8&gt;=E39,0,$C$5*(E39-$C$8)*E40)</f>
        <v>#N/A</v>
      </c>
      <c r="F41" s="24" t="s">
        <v>114</v>
      </c>
      <c r="G41" s="73" t="e">
        <f>"("&amp;ROUND(E41/1000,3)&amp;" kWh)"</f>
        <v>#N/A</v>
      </c>
    </row>
    <row r="42" spans="1:7" ht="15" customHeight="1">
      <c r="A42" s="511"/>
      <c r="B42" s="521"/>
      <c r="C42" s="517"/>
      <c r="D42" s="24" t="s">
        <v>272</v>
      </c>
      <c r="E42" s="38" t="e">
        <f>($C$7*E40)+'Apports récupérables ECS (4)'!F141+'Apports récupérables CH (6)'!E92</f>
        <v>#N/A</v>
      </c>
      <c r="F42" s="24" t="s">
        <v>114</v>
      </c>
      <c r="G42" s="73" t="e">
        <f>"("&amp;ROUND(E42/1000,3)&amp;" kWh)"</f>
        <v>#N/A</v>
      </c>
    </row>
    <row r="43" spans="1:7" ht="15" customHeight="1">
      <c r="A43" s="511"/>
      <c r="B43" s="521"/>
      <c r="C43" s="517"/>
      <c r="D43" s="43" t="s">
        <v>169</v>
      </c>
      <c r="E43" s="72">
        <f>IF(ISERROR(E42/E41),0,IF((E42/E41)&lt;&gt;1,(1-(E42/E41)^IF(E34&gt;12,1+('Inertie thermique (7)'!$C$6/$C$5)/16,2.5))/(1-(E42/E41)^(IF(E34&gt;12,1+('Inertie thermique (7)'!$C$6/$C$5)/16,2.5)+1)),IF(E34&gt;12,1+('Inertie thermique (7)'!$C$6/$C$5)/16,2.5)/(IF(E34&gt;12,1+('Inertie thermique (7)'!$C$6/$C$5)/16,2.5)+1)))</f>
        <v>0</v>
      </c>
      <c r="F43" s="41" t="s">
        <v>4</v>
      </c>
      <c r="G43" s="34"/>
    </row>
    <row r="44" spans="1:7" ht="15" customHeight="1" thickBot="1">
      <c r="A44" s="511"/>
      <c r="B44" s="521"/>
      <c r="C44" s="513"/>
      <c r="D44" s="28" t="s">
        <v>216</v>
      </c>
      <c r="E44" s="70" t="e">
        <f>E41-E42*E43</f>
        <v>#N/A</v>
      </c>
      <c r="F44" s="28" t="s">
        <v>114</v>
      </c>
      <c r="G44" s="105" t="e">
        <f>"("&amp;ROUND(E44/1000,3)&amp;" kWh)"</f>
        <v>#N/A</v>
      </c>
    </row>
    <row r="45" spans="1:7" ht="15" customHeight="1">
      <c r="A45" s="511"/>
      <c r="B45" s="521"/>
      <c r="C45" s="516" t="s">
        <v>154</v>
      </c>
      <c r="D45" s="37" t="s">
        <v>151</v>
      </c>
      <c r="E45" s="104">
        <f>'Logement (1)'!E24</f>
        <v>0</v>
      </c>
      <c r="F45" s="37" t="s">
        <v>7</v>
      </c>
      <c r="G45" s="501"/>
    </row>
    <row r="46" spans="1:7" ht="15" customHeight="1">
      <c r="A46" s="511"/>
      <c r="B46" s="521"/>
      <c r="C46" s="517"/>
      <c r="D46" s="24" t="s">
        <v>152</v>
      </c>
      <c r="E46" s="43">
        <f>24-E40</f>
        <v>24</v>
      </c>
      <c r="F46" s="24" t="s">
        <v>8</v>
      </c>
      <c r="G46" s="502"/>
    </row>
    <row r="47" spans="1:7" ht="15" customHeight="1">
      <c r="A47" s="511"/>
      <c r="B47" s="522"/>
      <c r="C47" s="517"/>
      <c r="D47" s="24" t="s">
        <v>153</v>
      </c>
      <c r="E47" s="72" t="e">
        <f>IF($C$8&gt;=E45,0,$C$5*(E45-$C$8)*E46)</f>
        <v>#N/A</v>
      </c>
      <c r="F47" s="24" t="s">
        <v>114</v>
      </c>
      <c r="G47" s="73" t="e">
        <f>"("&amp;ROUND(E47/1000,3)&amp;" kWh)"</f>
        <v>#N/A</v>
      </c>
    </row>
    <row r="48" spans="1:7" ht="15" customHeight="1">
      <c r="A48" s="511"/>
      <c r="B48" s="522"/>
      <c r="C48" s="517"/>
      <c r="D48" s="24" t="s">
        <v>272</v>
      </c>
      <c r="E48" s="38" t="e">
        <f>($C$7*E46)+'Apports récupérables ECS (4)'!F150+'Apports récupérables CH (6)'!E102</f>
        <v>#N/A</v>
      </c>
      <c r="F48" s="24" t="s">
        <v>114</v>
      </c>
      <c r="G48" s="73" t="e">
        <f>"("&amp;ROUND(E48/1000,3)&amp;" kWh)"</f>
        <v>#N/A</v>
      </c>
    </row>
    <row r="49" spans="1:7" ht="15" customHeight="1">
      <c r="A49" s="511"/>
      <c r="B49" s="522"/>
      <c r="C49" s="517"/>
      <c r="D49" s="43" t="s">
        <v>169</v>
      </c>
      <c r="E49" s="72">
        <f>IF(ISERROR(E48/E47),0,IF((E48/E47)&lt;&gt;1,(1-(E48/E47)^IF(E40&gt;12,1+('Inertie thermique (7)'!$C$6/$C$5)/16,2.5))/(1-(E48/E47)^(IF(E40&gt;12,1+('Inertie thermique (7)'!$C$6/$C$5)/16,2.5)+1)),IF(E40&gt;12,1+('Inertie thermique (7)'!$C$6/$C$5)/16,2.5)/(IF(E40&gt;12,1+('Inertie thermique (7)'!$C$6/$C$5)/16,2.5)+1)))</f>
        <v>0</v>
      </c>
      <c r="F49" s="41" t="s">
        <v>4</v>
      </c>
      <c r="G49" s="34"/>
    </row>
    <row r="50" spans="1:7" ht="15" customHeight="1" thickBot="1">
      <c r="A50" s="511"/>
      <c r="B50" s="523"/>
      <c r="C50" s="513"/>
      <c r="D50" s="28" t="s">
        <v>216</v>
      </c>
      <c r="E50" s="70" t="e">
        <f>E47-E48*E49</f>
        <v>#N/A</v>
      </c>
      <c r="F50" s="28" t="s">
        <v>114</v>
      </c>
      <c r="G50" s="105" t="e">
        <f>"("&amp;ROUND(E50/1000,3)&amp;" kWh)"</f>
        <v>#N/A</v>
      </c>
    </row>
    <row r="51" spans="1:7" ht="15" customHeight="1">
      <c r="A51" s="512"/>
      <c r="B51" s="518" t="s">
        <v>307</v>
      </c>
      <c r="C51" s="519"/>
      <c r="D51" s="519"/>
      <c r="E51" s="92" t="e">
        <f>E41+E47</f>
        <v>#N/A</v>
      </c>
      <c r="F51" s="106" t="s">
        <v>114</v>
      </c>
      <c r="G51" s="107" t="e">
        <f>"("&amp;ROUND(E51/1000,3)&amp;" kWh)"</f>
        <v>#N/A</v>
      </c>
    </row>
    <row r="52" spans="1:7" ht="15" customHeight="1" thickBot="1">
      <c r="A52" s="513"/>
      <c r="B52" s="475" t="s">
        <v>308</v>
      </c>
      <c r="C52" s="476"/>
      <c r="D52" s="476"/>
      <c r="E52" s="79" t="e">
        <f>E44+E50</f>
        <v>#N/A</v>
      </c>
      <c r="F52" s="77" t="s">
        <v>114</v>
      </c>
      <c r="G52" s="78" t="e">
        <f>"("&amp;ROUND(E52/1000,3)&amp;" kWh)"</f>
        <v>#N/A</v>
      </c>
    </row>
    <row r="53" spans="1:7" ht="15" customHeight="1">
      <c r="A53" s="510" t="s">
        <v>158</v>
      </c>
      <c r="B53" s="510" t="s">
        <v>155</v>
      </c>
      <c r="C53" s="516" t="s">
        <v>150</v>
      </c>
      <c r="D53" s="37" t="s">
        <v>151</v>
      </c>
      <c r="E53" s="104">
        <f>'Logement (1)'!E26</f>
        <v>0</v>
      </c>
      <c r="F53" s="37" t="s">
        <v>7</v>
      </c>
      <c r="G53" s="501"/>
    </row>
    <row r="54" spans="1:7" ht="15" customHeight="1">
      <c r="A54" s="511"/>
      <c r="B54" s="511"/>
      <c r="C54" s="517"/>
      <c r="D54" s="24" t="s">
        <v>152</v>
      </c>
      <c r="E54" s="43">
        <f>'Logement (1)'!E27</f>
        <v>0</v>
      </c>
      <c r="F54" s="24" t="s">
        <v>8</v>
      </c>
      <c r="G54" s="502"/>
    </row>
    <row r="55" spans="1:7" ht="15" customHeight="1">
      <c r="A55" s="511"/>
      <c r="B55" s="511"/>
      <c r="C55" s="517"/>
      <c r="D55" s="24" t="s">
        <v>153</v>
      </c>
      <c r="E55" s="72" t="e">
        <f>IF($C$8&gt;=E53,0,$C$5*(E53-$C$8)*E54)</f>
        <v>#N/A</v>
      </c>
      <c r="F55" s="24" t="s">
        <v>114</v>
      </c>
      <c r="G55" s="73" t="e">
        <f>"("&amp;ROUND(E55/1000,3)&amp;" kWh)"</f>
        <v>#N/A</v>
      </c>
    </row>
    <row r="56" spans="1:7" ht="15" customHeight="1">
      <c r="A56" s="511"/>
      <c r="B56" s="511"/>
      <c r="C56" s="517"/>
      <c r="D56" s="24" t="s">
        <v>272</v>
      </c>
      <c r="E56" s="38" t="e">
        <f>($C$7*E54)+'Apports récupérables ECS (4)'!F175+'Apports récupérables CH (6)'!E114</f>
        <v>#N/A</v>
      </c>
      <c r="F56" s="24" t="s">
        <v>114</v>
      </c>
      <c r="G56" s="73" t="e">
        <f>"("&amp;ROUND(E56/1000,3)&amp;" kWh)"</f>
        <v>#N/A</v>
      </c>
    </row>
    <row r="57" spans="1:7" ht="15" customHeight="1">
      <c r="A57" s="511"/>
      <c r="B57" s="511"/>
      <c r="C57" s="517"/>
      <c r="D57" s="43" t="s">
        <v>169</v>
      </c>
      <c r="E57" s="72">
        <f>IF(ISERROR(E56/E55),0,IF((E56/E55)&lt;&gt;1,(1-(E56/E55)^IF(E48&gt;12,1+('Inertie thermique (7)'!$C$6/$C$5)/16,2.5))/(1-(E56/E55)^(IF(E48&gt;12,1+('Inertie thermique (7)'!$C$6/$C$5)/16,2.5)+1)),IF(E48&gt;12,1+('Inertie thermique (7)'!$C$6/$C$5)/16,2.5)/(IF(E48&gt;12,1+('Inertie thermique (7)'!$C$6/$C$5)/16,2.5)+1)))</f>
        <v>0</v>
      </c>
      <c r="F57" s="41" t="s">
        <v>4</v>
      </c>
      <c r="G57" s="44"/>
    </row>
    <row r="58" spans="1:7" ht="15" customHeight="1" thickBot="1">
      <c r="A58" s="511"/>
      <c r="B58" s="511"/>
      <c r="C58" s="513"/>
      <c r="D58" s="28" t="s">
        <v>216</v>
      </c>
      <c r="E58" s="70" t="e">
        <f>E55-E56*E57</f>
        <v>#N/A</v>
      </c>
      <c r="F58" s="28" t="s">
        <v>114</v>
      </c>
      <c r="G58" s="105" t="e">
        <f>"("&amp;ROUND(E58/1000,3)&amp;" kWh)"</f>
        <v>#N/A</v>
      </c>
    </row>
    <row r="59" spans="1:7" ht="15" customHeight="1">
      <c r="A59" s="511"/>
      <c r="B59" s="511"/>
      <c r="C59" s="516" t="s">
        <v>154</v>
      </c>
      <c r="D59" s="37" t="s">
        <v>151</v>
      </c>
      <c r="E59" s="104">
        <f>'Logement (1)'!E28</f>
        <v>0</v>
      </c>
      <c r="F59" s="37" t="s">
        <v>7</v>
      </c>
      <c r="G59" s="501"/>
    </row>
    <row r="60" spans="1:7" ht="15" customHeight="1">
      <c r="A60" s="511"/>
      <c r="B60" s="511"/>
      <c r="C60" s="517"/>
      <c r="D60" s="24" t="s">
        <v>152</v>
      </c>
      <c r="E60" s="43">
        <f>24-E54</f>
        <v>24</v>
      </c>
      <c r="F60" s="24" t="s">
        <v>8</v>
      </c>
      <c r="G60" s="502"/>
    </row>
    <row r="61" spans="1:7" ht="15" customHeight="1">
      <c r="A61" s="511"/>
      <c r="B61" s="512"/>
      <c r="C61" s="517"/>
      <c r="D61" s="24" t="s">
        <v>153</v>
      </c>
      <c r="E61" s="72" t="e">
        <f>IF($C$8&gt;=E59,0,$C$5*(E59-$C$8)*E60)</f>
        <v>#N/A</v>
      </c>
      <c r="F61" s="24" t="s">
        <v>114</v>
      </c>
      <c r="G61" s="73" t="e">
        <f>"("&amp;ROUND(E61/1000,3)&amp;" kWh)"</f>
        <v>#N/A</v>
      </c>
    </row>
    <row r="62" spans="1:7" ht="15" customHeight="1">
      <c r="A62" s="511"/>
      <c r="B62" s="512"/>
      <c r="C62" s="517"/>
      <c r="D62" s="24" t="s">
        <v>272</v>
      </c>
      <c r="E62" s="38" t="e">
        <f>($C$7*E60)+'Apports récupérables ECS (4)'!F184+'Apports récupérables CH (6)'!E124</f>
        <v>#N/A</v>
      </c>
      <c r="F62" s="24" t="s">
        <v>114</v>
      </c>
      <c r="G62" s="73" t="e">
        <f>"("&amp;ROUND(E62/1000,3)&amp;" kWh)"</f>
        <v>#N/A</v>
      </c>
    </row>
    <row r="63" spans="1:7" ht="15" customHeight="1">
      <c r="A63" s="511"/>
      <c r="B63" s="512"/>
      <c r="C63" s="517"/>
      <c r="D63" s="43" t="s">
        <v>169</v>
      </c>
      <c r="E63" s="72">
        <f>IF(ISERROR(E62/E61),0,IF((E62/E61)&lt;&gt;1,(1-(E62/E61)^IF(E54&gt;12,1+('Inertie thermique (7)'!$C$6/$C$5)/16,2.5))/(1-(E62/E61)^(IF(E54&gt;12,1+('Inertie thermique (7)'!$C$6/$C$5)/16,2.5)+1)),IF(E54&gt;12,1+('Inertie thermique (7)'!$C$6/$C$5)/16,2.5)/(IF(E54&gt;12,1+('Inertie thermique (7)'!$C$6/$C$5)/16,2.5)+1)))</f>
        <v>0</v>
      </c>
      <c r="F63" s="41" t="s">
        <v>4</v>
      </c>
      <c r="G63" s="44"/>
    </row>
    <row r="64" spans="1:7" ht="15" customHeight="1" thickBot="1">
      <c r="A64" s="511"/>
      <c r="B64" s="514"/>
      <c r="C64" s="513"/>
      <c r="D64" s="28" t="s">
        <v>216</v>
      </c>
      <c r="E64" s="70" t="e">
        <f>E61-E62*E63</f>
        <v>#N/A</v>
      </c>
      <c r="F64" s="28" t="s">
        <v>114</v>
      </c>
      <c r="G64" s="105" t="e">
        <f>"("&amp;ROUND(E64/1000,3)&amp;" kWh)"</f>
        <v>#N/A</v>
      </c>
    </row>
    <row r="65" spans="1:7" ht="15" customHeight="1">
      <c r="A65" s="512"/>
      <c r="B65" s="518" t="s">
        <v>307</v>
      </c>
      <c r="C65" s="519"/>
      <c r="D65" s="519"/>
      <c r="E65" s="92" t="e">
        <f>E55+E61</f>
        <v>#N/A</v>
      </c>
      <c r="F65" s="106" t="s">
        <v>114</v>
      </c>
      <c r="G65" s="107" t="e">
        <f>"("&amp;ROUND(E65/1000,3)&amp;" kWh)"</f>
        <v>#N/A</v>
      </c>
    </row>
    <row r="66" spans="1:7" ht="15" customHeight="1" thickBot="1">
      <c r="A66" s="513"/>
      <c r="B66" s="475" t="s">
        <v>308</v>
      </c>
      <c r="C66" s="476"/>
      <c r="D66" s="476"/>
      <c r="E66" s="79" t="e">
        <f>E58+E64</f>
        <v>#N/A</v>
      </c>
      <c r="F66" s="77" t="s">
        <v>114</v>
      </c>
      <c r="G66" s="78" t="e">
        <f>"("&amp;ROUND(E66/1000,3)&amp;" kWh)"</f>
        <v>#N/A</v>
      </c>
    </row>
    <row r="67" spans="1:7" ht="15" customHeight="1">
      <c r="A67" s="510" t="s">
        <v>159</v>
      </c>
      <c r="B67" s="510" t="s">
        <v>155</v>
      </c>
      <c r="C67" s="516" t="s">
        <v>150</v>
      </c>
      <c r="D67" s="37" t="s">
        <v>151</v>
      </c>
      <c r="E67" s="104">
        <f>'Logement (1)'!E30</f>
        <v>0</v>
      </c>
      <c r="F67" s="37" t="s">
        <v>7</v>
      </c>
      <c r="G67" s="501"/>
    </row>
    <row r="68" spans="1:7" ht="15" customHeight="1">
      <c r="A68" s="511"/>
      <c r="B68" s="511"/>
      <c r="C68" s="517"/>
      <c r="D68" s="24" t="s">
        <v>152</v>
      </c>
      <c r="E68" s="43">
        <f>'Logement (1)'!E31</f>
        <v>0</v>
      </c>
      <c r="F68" s="24" t="s">
        <v>8</v>
      </c>
      <c r="G68" s="502"/>
    </row>
    <row r="69" spans="1:7" ht="15" customHeight="1">
      <c r="A69" s="511"/>
      <c r="B69" s="511"/>
      <c r="C69" s="517"/>
      <c r="D69" s="24" t="s">
        <v>153</v>
      </c>
      <c r="E69" s="72" t="e">
        <f>IF($C$8&gt;=E67,0,$C$5*(E67-$C$8)*E68)</f>
        <v>#N/A</v>
      </c>
      <c r="F69" s="24" t="s">
        <v>114</v>
      </c>
      <c r="G69" s="73" t="e">
        <f>"("&amp;ROUND(E69/1000,3)&amp;" kWh)"</f>
        <v>#N/A</v>
      </c>
    </row>
    <row r="70" spans="1:7" ht="15" customHeight="1">
      <c r="A70" s="511"/>
      <c r="B70" s="511"/>
      <c r="C70" s="517"/>
      <c r="D70" s="24" t="s">
        <v>272</v>
      </c>
      <c r="E70" s="38" t="e">
        <f>($C$7*E68)+'Apports récupérables ECS (4)'!F209+'Apports récupérables CH (6)'!E136</f>
        <v>#N/A</v>
      </c>
      <c r="F70" s="24" t="s">
        <v>114</v>
      </c>
      <c r="G70" s="73" t="e">
        <f>"("&amp;ROUND(E70/1000,3)&amp;" kWh)"</f>
        <v>#N/A</v>
      </c>
    </row>
    <row r="71" spans="1:7" ht="15" customHeight="1">
      <c r="A71" s="511"/>
      <c r="B71" s="511"/>
      <c r="C71" s="517"/>
      <c r="D71" s="43" t="s">
        <v>169</v>
      </c>
      <c r="E71" s="72">
        <f>IF(ISERROR(E70/E69),0,IF((E70/E69)&lt;&gt;1,(1-(E70/E69)^IF(E62&gt;12,1+('Inertie thermique (7)'!$C$6/$C$5)/16,2.5))/(1-(E70/E69)^(IF(E62&gt;12,1+('Inertie thermique (7)'!$C$6/$C$5)/16,2.5)+1)),IF(E62&gt;12,1+('Inertie thermique (7)'!$C$6/$C$5)/16,2.5)/(IF(E62&gt;12,1+('Inertie thermique (7)'!$C$6/$C$5)/16,2.5)+1)))</f>
        <v>0</v>
      </c>
      <c r="F71" s="41" t="s">
        <v>4</v>
      </c>
      <c r="G71" s="44"/>
    </row>
    <row r="72" spans="1:7" ht="15" customHeight="1" thickBot="1">
      <c r="A72" s="511"/>
      <c r="B72" s="511"/>
      <c r="C72" s="513"/>
      <c r="D72" s="28" t="s">
        <v>216</v>
      </c>
      <c r="E72" s="70" t="e">
        <f>E69-E70*E71</f>
        <v>#N/A</v>
      </c>
      <c r="F72" s="28" t="s">
        <v>114</v>
      </c>
      <c r="G72" s="105" t="e">
        <f>"("&amp;ROUND(E72/1000,3)&amp;" kWh)"</f>
        <v>#N/A</v>
      </c>
    </row>
    <row r="73" spans="1:7" ht="15" customHeight="1">
      <c r="A73" s="511"/>
      <c r="B73" s="511"/>
      <c r="C73" s="516" t="s">
        <v>154</v>
      </c>
      <c r="D73" s="37" t="s">
        <v>151</v>
      </c>
      <c r="E73" s="104">
        <f>'Logement (1)'!E32</f>
        <v>0</v>
      </c>
      <c r="F73" s="37" t="s">
        <v>7</v>
      </c>
      <c r="G73" s="501"/>
    </row>
    <row r="74" spans="1:7" ht="15" customHeight="1">
      <c r="A74" s="511"/>
      <c r="B74" s="511"/>
      <c r="C74" s="517"/>
      <c r="D74" s="24" t="s">
        <v>152</v>
      </c>
      <c r="E74" s="43">
        <f>24-E68</f>
        <v>24</v>
      </c>
      <c r="F74" s="24" t="s">
        <v>8</v>
      </c>
      <c r="G74" s="502"/>
    </row>
    <row r="75" spans="1:7" ht="15" customHeight="1">
      <c r="A75" s="511"/>
      <c r="B75" s="512"/>
      <c r="C75" s="517"/>
      <c r="D75" s="24" t="s">
        <v>153</v>
      </c>
      <c r="E75" s="72" t="e">
        <f>IF($C$8&gt;=E73,0,$C$5*(E73-$C$8)*E74)</f>
        <v>#N/A</v>
      </c>
      <c r="F75" s="24" t="s">
        <v>114</v>
      </c>
      <c r="G75" s="73" t="e">
        <f>"("&amp;ROUND(E75/1000,3)&amp;" kWh)"</f>
        <v>#N/A</v>
      </c>
    </row>
    <row r="76" spans="1:7" ht="15" customHeight="1">
      <c r="A76" s="511"/>
      <c r="B76" s="512"/>
      <c r="C76" s="517"/>
      <c r="D76" s="24" t="s">
        <v>272</v>
      </c>
      <c r="E76" s="38" t="e">
        <f>($C$7*E74)+'Apports récupérables ECS (4)'!F218+'Apports récupérables CH (6)'!E146</f>
        <v>#N/A</v>
      </c>
      <c r="F76" s="24" t="s">
        <v>114</v>
      </c>
      <c r="G76" s="73" t="e">
        <f>"("&amp;ROUND(E76/1000,3)&amp;" kWh)"</f>
        <v>#N/A</v>
      </c>
    </row>
    <row r="77" spans="1:7" ht="15" customHeight="1">
      <c r="A77" s="511"/>
      <c r="B77" s="512"/>
      <c r="C77" s="517"/>
      <c r="D77" s="43" t="s">
        <v>169</v>
      </c>
      <c r="E77" s="72">
        <f>IF(ISERROR(E76/E75),0,IF((E76/E75)&lt;&gt;1,(1-(E76/E75)^IF(E68&gt;12,1+('Inertie thermique (7)'!$C$6/$C$5)/16,2.5))/(1-(E76/E75)^(IF(E68&gt;12,1+('Inertie thermique (7)'!$C$6/$C$5)/16,2.5)+1)),IF(E68&gt;12,1+('Inertie thermique (7)'!$C$6/$C$5)/16,2.5)/(IF(E68&gt;12,1+('Inertie thermique (7)'!$C$6/$C$5)/16,2.5)+1)))</f>
        <v>0</v>
      </c>
      <c r="F77" s="41" t="s">
        <v>4</v>
      </c>
      <c r="G77" s="44"/>
    </row>
    <row r="78" spans="1:7" ht="15" customHeight="1" thickBot="1">
      <c r="A78" s="511"/>
      <c r="B78" s="514"/>
      <c r="C78" s="513"/>
      <c r="D78" s="28" t="s">
        <v>216</v>
      </c>
      <c r="E78" s="70" t="e">
        <f>E75-E76*E77</f>
        <v>#N/A</v>
      </c>
      <c r="F78" s="28" t="s">
        <v>114</v>
      </c>
      <c r="G78" s="105" t="e">
        <f>"("&amp;ROUND(E78/1000,3)&amp;" kWh)"</f>
        <v>#N/A</v>
      </c>
    </row>
    <row r="79" spans="1:7" ht="15" customHeight="1">
      <c r="A79" s="512"/>
      <c r="B79" s="518" t="s">
        <v>307</v>
      </c>
      <c r="C79" s="519"/>
      <c r="D79" s="519"/>
      <c r="E79" s="92" t="e">
        <f>E69+E75</f>
        <v>#N/A</v>
      </c>
      <c r="F79" s="106" t="s">
        <v>114</v>
      </c>
      <c r="G79" s="107" t="e">
        <f>"("&amp;ROUND(E79/1000,3)&amp;" kWh)"</f>
        <v>#N/A</v>
      </c>
    </row>
    <row r="80" spans="1:7" ht="15" customHeight="1" thickBot="1">
      <c r="A80" s="513"/>
      <c r="B80" s="475" t="s">
        <v>308</v>
      </c>
      <c r="C80" s="476"/>
      <c r="D80" s="476"/>
      <c r="E80" s="79" t="e">
        <f>E72+E78</f>
        <v>#N/A</v>
      </c>
      <c r="F80" s="77" t="s">
        <v>114</v>
      </c>
      <c r="G80" s="78" t="e">
        <f>"("&amp;ROUND(E80/1000,3)&amp;" kWh)"</f>
        <v>#N/A</v>
      </c>
    </row>
    <row r="81" spans="1:7" ht="15" customHeight="1">
      <c r="A81" s="510" t="s">
        <v>160</v>
      </c>
      <c r="B81" s="510" t="s">
        <v>155</v>
      </c>
      <c r="C81" s="516" t="s">
        <v>150</v>
      </c>
      <c r="D81" s="37" t="s">
        <v>151</v>
      </c>
      <c r="E81" s="104">
        <f>'Logement (1)'!E34</f>
        <v>0</v>
      </c>
      <c r="F81" s="37" t="s">
        <v>7</v>
      </c>
      <c r="G81" s="501"/>
    </row>
    <row r="82" spans="1:7" ht="15" customHeight="1">
      <c r="A82" s="511"/>
      <c r="B82" s="511"/>
      <c r="C82" s="517"/>
      <c r="D82" s="24" t="s">
        <v>152</v>
      </c>
      <c r="E82" s="43">
        <f>'Logement (1)'!E35</f>
        <v>0</v>
      </c>
      <c r="F82" s="24" t="s">
        <v>8</v>
      </c>
      <c r="G82" s="502"/>
    </row>
    <row r="83" spans="1:7" ht="15" customHeight="1">
      <c r="A83" s="511"/>
      <c r="B83" s="511"/>
      <c r="C83" s="517"/>
      <c r="D83" s="24" t="s">
        <v>153</v>
      </c>
      <c r="E83" s="72" t="e">
        <f>IF($C$8&gt;=E81,0,$C$5*(E81-$C$8)*E82)</f>
        <v>#N/A</v>
      </c>
      <c r="F83" s="24" t="s">
        <v>114</v>
      </c>
      <c r="G83" s="73" t="e">
        <f>"("&amp;ROUND(E83/1000,3)&amp;" kWh)"</f>
        <v>#N/A</v>
      </c>
    </row>
    <row r="84" spans="1:7" ht="15" customHeight="1">
      <c r="A84" s="511"/>
      <c r="B84" s="511"/>
      <c r="C84" s="517"/>
      <c r="D84" s="24" t="s">
        <v>272</v>
      </c>
      <c r="E84" s="38" t="e">
        <f>($C$7*E82)+'Apports récupérables ECS (4)'!F243+'Apports récupérables CH (6)'!E158</f>
        <v>#N/A</v>
      </c>
      <c r="F84" s="24" t="s">
        <v>114</v>
      </c>
      <c r="G84" s="73" t="e">
        <f>"("&amp;ROUND(E84/1000,3)&amp;" kWh)"</f>
        <v>#N/A</v>
      </c>
    </row>
    <row r="85" spans="1:7" ht="15" customHeight="1">
      <c r="A85" s="511"/>
      <c r="B85" s="511"/>
      <c r="C85" s="517"/>
      <c r="D85" s="43" t="s">
        <v>169</v>
      </c>
      <c r="E85" s="72">
        <f>IF(ISERROR(E84/E83),0,IF((E84/E83)&lt;&gt;1,(1-(E84/E83)^IF(E76&gt;12,1+('Inertie thermique (7)'!$C$6/$C$5)/16,2.5))/(1-(E84/E83)^(IF(E76&gt;12,1+('Inertie thermique (7)'!$C$6/$C$5)/16,2.5)+1)),IF(E76&gt;12,1+('Inertie thermique (7)'!$C$6/$C$5)/16,2.5)/(IF(E76&gt;12,1+('Inertie thermique (7)'!$C$6/$C$5)/16,2.5)+1)))</f>
        <v>0</v>
      </c>
      <c r="F85" s="41" t="s">
        <v>4</v>
      </c>
      <c r="G85" s="44"/>
    </row>
    <row r="86" spans="1:7" ht="15" customHeight="1" thickBot="1">
      <c r="A86" s="511"/>
      <c r="B86" s="511"/>
      <c r="C86" s="513"/>
      <c r="D86" s="28" t="s">
        <v>216</v>
      </c>
      <c r="E86" s="70" t="e">
        <f>E83-E84*E85</f>
        <v>#N/A</v>
      </c>
      <c r="F86" s="28" t="s">
        <v>114</v>
      </c>
      <c r="G86" s="105" t="e">
        <f>"("&amp;ROUND(E86/1000,3)&amp;" kWh)"</f>
        <v>#N/A</v>
      </c>
    </row>
    <row r="87" spans="1:7" ht="15" customHeight="1">
      <c r="A87" s="511"/>
      <c r="B87" s="511"/>
      <c r="C87" s="516" t="s">
        <v>154</v>
      </c>
      <c r="D87" s="37" t="s">
        <v>151</v>
      </c>
      <c r="E87" s="104">
        <f>'Logement (1)'!E36</f>
        <v>0</v>
      </c>
      <c r="F87" s="37" t="s">
        <v>7</v>
      </c>
      <c r="G87" s="501"/>
    </row>
    <row r="88" spans="1:7" ht="15" customHeight="1">
      <c r="A88" s="511"/>
      <c r="B88" s="511"/>
      <c r="C88" s="517"/>
      <c r="D88" s="24" t="s">
        <v>152</v>
      </c>
      <c r="E88" s="43">
        <f>24-E82</f>
        <v>24</v>
      </c>
      <c r="F88" s="24" t="s">
        <v>8</v>
      </c>
      <c r="G88" s="502"/>
    </row>
    <row r="89" spans="1:7" ht="15" customHeight="1">
      <c r="A89" s="511"/>
      <c r="B89" s="512"/>
      <c r="C89" s="517"/>
      <c r="D89" s="24" t="s">
        <v>153</v>
      </c>
      <c r="E89" s="72" t="e">
        <f>IF($C$8&gt;=E87,0,$C$5*(E87-$C$8)*E88)</f>
        <v>#N/A</v>
      </c>
      <c r="F89" s="24" t="s">
        <v>114</v>
      </c>
      <c r="G89" s="73" t="e">
        <f>"("&amp;ROUND(E89/1000,3)&amp;" kWh)"</f>
        <v>#N/A</v>
      </c>
    </row>
    <row r="90" spans="1:7" ht="15" customHeight="1">
      <c r="A90" s="511"/>
      <c r="B90" s="512"/>
      <c r="C90" s="517"/>
      <c r="D90" s="24" t="s">
        <v>272</v>
      </c>
      <c r="E90" s="38" t="e">
        <f>($C$7*E88)+'Apports récupérables ECS (4)'!F252+'Apports récupérables CH (6)'!E168</f>
        <v>#N/A</v>
      </c>
      <c r="F90" s="24" t="s">
        <v>114</v>
      </c>
      <c r="G90" s="73" t="e">
        <f>"("&amp;ROUND(E90/1000,3)&amp;" kWh)"</f>
        <v>#N/A</v>
      </c>
    </row>
    <row r="91" spans="1:7" ht="15" customHeight="1">
      <c r="A91" s="511"/>
      <c r="B91" s="512"/>
      <c r="C91" s="517"/>
      <c r="D91" s="43" t="s">
        <v>169</v>
      </c>
      <c r="E91" s="72">
        <f>IF(ISERROR(E90/E89),0,IF((E90/E89)&lt;&gt;1,(1-(E90/E89)^IF(E82&gt;12,1+('Inertie thermique (7)'!$C$6/$C$5)/16,2.5))/(1-(E90/E89)^(IF(E82&gt;12,1+('Inertie thermique (7)'!$C$6/$C$5)/16,2.5)+1)),IF(E82&gt;12,1+('Inertie thermique (7)'!$C$6/$C$5)/16,2.5)/(IF(E82&gt;12,1+('Inertie thermique (7)'!$C$6/$C$5)/16,2.5)+1)))</f>
        <v>0</v>
      </c>
      <c r="F91" s="41" t="s">
        <v>4</v>
      </c>
      <c r="G91" s="44"/>
    </row>
    <row r="92" spans="1:7" ht="15" customHeight="1" thickBot="1">
      <c r="A92" s="511"/>
      <c r="B92" s="514"/>
      <c r="C92" s="513"/>
      <c r="D92" s="28" t="s">
        <v>216</v>
      </c>
      <c r="E92" s="70" t="e">
        <f>E89-E90*E91</f>
        <v>#N/A</v>
      </c>
      <c r="F92" s="28" t="s">
        <v>114</v>
      </c>
      <c r="G92" s="105" t="e">
        <f>"("&amp;ROUND(E92/1000,3)&amp;" kWh)"</f>
        <v>#N/A</v>
      </c>
    </row>
    <row r="93" spans="1:7" ht="15" customHeight="1">
      <c r="A93" s="512"/>
      <c r="B93" s="518" t="s">
        <v>307</v>
      </c>
      <c r="C93" s="519"/>
      <c r="D93" s="519"/>
      <c r="E93" s="92" t="e">
        <f>E83+E89</f>
        <v>#N/A</v>
      </c>
      <c r="F93" s="106" t="s">
        <v>114</v>
      </c>
      <c r="G93" s="107" t="e">
        <f>"("&amp;ROUND(E93/1000,3)&amp;" kWh)"</f>
        <v>#N/A</v>
      </c>
    </row>
    <row r="94" spans="1:7" ht="15" customHeight="1" thickBot="1">
      <c r="A94" s="513"/>
      <c r="B94" s="475" t="s">
        <v>308</v>
      </c>
      <c r="C94" s="476"/>
      <c r="D94" s="476"/>
      <c r="E94" s="79" t="e">
        <f>E86+E92</f>
        <v>#N/A</v>
      </c>
      <c r="F94" s="77" t="s">
        <v>114</v>
      </c>
      <c r="G94" s="78" t="e">
        <f>"("&amp;ROUND(E94/1000,3)&amp;" kWh)"</f>
        <v>#N/A</v>
      </c>
    </row>
    <row r="95" spans="1:7" ht="15" customHeight="1">
      <c r="A95" s="510" t="s">
        <v>161</v>
      </c>
      <c r="B95" s="510" t="s">
        <v>155</v>
      </c>
      <c r="C95" s="516" t="s">
        <v>150</v>
      </c>
      <c r="D95" s="37" t="s">
        <v>151</v>
      </c>
      <c r="E95" s="104">
        <f>'Logement (1)'!E38</f>
        <v>0</v>
      </c>
      <c r="F95" s="37" t="s">
        <v>7</v>
      </c>
      <c r="G95" s="501"/>
    </row>
    <row r="96" spans="1:7" ht="15" customHeight="1">
      <c r="A96" s="511"/>
      <c r="B96" s="511"/>
      <c r="C96" s="517"/>
      <c r="D96" s="24" t="s">
        <v>152</v>
      </c>
      <c r="E96" s="43">
        <f>'Logement (1)'!E39</f>
        <v>0</v>
      </c>
      <c r="F96" s="24" t="s">
        <v>8</v>
      </c>
      <c r="G96" s="502"/>
    </row>
    <row r="97" spans="1:7" ht="15" customHeight="1">
      <c r="A97" s="511"/>
      <c r="B97" s="511"/>
      <c r="C97" s="517"/>
      <c r="D97" s="24" t="s">
        <v>153</v>
      </c>
      <c r="E97" s="72" t="e">
        <f>IF($C$8&gt;=E95,0,$C$5*(E95-$C$8)*E96)</f>
        <v>#N/A</v>
      </c>
      <c r="F97" s="24" t="s">
        <v>114</v>
      </c>
      <c r="G97" s="73" t="e">
        <f>"("&amp;ROUND(E97/1000,3)&amp;" kWh)"</f>
        <v>#N/A</v>
      </c>
    </row>
    <row r="98" spans="1:7" ht="15" customHeight="1">
      <c r="A98" s="511"/>
      <c r="B98" s="511"/>
      <c r="C98" s="517"/>
      <c r="D98" s="24" t="s">
        <v>272</v>
      </c>
      <c r="E98" s="38" t="e">
        <f>($C$7*E96)+'Apports récupérables ECS (4)'!F277+'Apports récupérables CH (6)'!E180</f>
        <v>#N/A</v>
      </c>
      <c r="F98" s="24" t="s">
        <v>114</v>
      </c>
      <c r="G98" s="73" t="e">
        <f>"("&amp;ROUND(E98/1000,3)&amp;" kWh)"</f>
        <v>#N/A</v>
      </c>
    </row>
    <row r="99" spans="1:7" ht="15" customHeight="1">
      <c r="A99" s="511"/>
      <c r="B99" s="511"/>
      <c r="C99" s="517"/>
      <c r="D99" s="43" t="s">
        <v>169</v>
      </c>
      <c r="E99" s="72">
        <f>IF(ISERROR(E98/E97),0,IF((E98/E97)&lt;&gt;1,(1-(E98/E97)^IF(E90&gt;12,1+('Inertie thermique (7)'!$C$6/$C$5)/16,2.5))/(1-(E98/E97)^(IF(E90&gt;12,1+('Inertie thermique (7)'!$C$6/$C$5)/16,2.5)+1)),IF(E90&gt;12,1+('Inertie thermique (7)'!$C$6/$C$5)/16,2.5)/(IF(E90&gt;12,1+('Inertie thermique (7)'!$C$6/$C$5)/16,2.5)+1)))</f>
        <v>0</v>
      </c>
      <c r="F99" s="41" t="s">
        <v>4</v>
      </c>
      <c r="G99" s="44"/>
    </row>
    <row r="100" spans="1:7" ht="15" customHeight="1" thickBot="1">
      <c r="A100" s="511"/>
      <c r="B100" s="511"/>
      <c r="C100" s="513"/>
      <c r="D100" s="28" t="s">
        <v>216</v>
      </c>
      <c r="E100" s="70" t="e">
        <f>E97-E98*E99</f>
        <v>#N/A</v>
      </c>
      <c r="F100" s="28" t="s">
        <v>114</v>
      </c>
      <c r="G100" s="105" t="e">
        <f>"("&amp;ROUND(E100/1000,3)&amp;" kWh)"</f>
        <v>#N/A</v>
      </c>
    </row>
    <row r="101" spans="1:7" ht="15" customHeight="1">
      <c r="A101" s="511"/>
      <c r="B101" s="511"/>
      <c r="C101" s="516" t="s">
        <v>154</v>
      </c>
      <c r="D101" s="37" t="s">
        <v>151</v>
      </c>
      <c r="E101" s="104">
        <f>'Logement (1)'!E40</f>
        <v>0</v>
      </c>
      <c r="F101" s="37" t="s">
        <v>7</v>
      </c>
      <c r="G101" s="515"/>
    </row>
    <row r="102" spans="1:7" ht="15" customHeight="1">
      <c r="A102" s="511"/>
      <c r="B102" s="511"/>
      <c r="C102" s="517"/>
      <c r="D102" s="24" t="s">
        <v>152</v>
      </c>
      <c r="E102" s="43">
        <f>24-E96</f>
        <v>24</v>
      </c>
      <c r="F102" s="24" t="s">
        <v>8</v>
      </c>
      <c r="G102" s="502"/>
    </row>
    <row r="103" spans="1:7" ht="15" customHeight="1">
      <c r="A103" s="511"/>
      <c r="B103" s="512"/>
      <c r="C103" s="517"/>
      <c r="D103" s="24" t="s">
        <v>153</v>
      </c>
      <c r="E103" s="72" t="e">
        <f>IF($C$8&gt;=E101,0,$C$5*(E101-$C$8)*E102)</f>
        <v>#N/A</v>
      </c>
      <c r="F103" s="24" t="s">
        <v>114</v>
      </c>
      <c r="G103" s="73" t="e">
        <f>"("&amp;ROUND(E103/1000,3)&amp;" kWh)"</f>
        <v>#N/A</v>
      </c>
    </row>
    <row r="104" spans="1:7" ht="15" customHeight="1">
      <c r="A104" s="511"/>
      <c r="B104" s="512"/>
      <c r="C104" s="517"/>
      <c r="D104" s="24" t="s">
        <v>272</v>
      </c>
      <c r="E104" s="38" t="e">
        <f>($C$7*E102)+'Apports récupérables ECS (4)'!F286+'Apports récupérables CH (6)'!E190</f>
        <v>#N/A</v>
      </c>
      <c r="F104" s="24" t="s">
        <v>114</v>
      </c>
      <c r="G104" s="73" t="e">
        <f>"("&amp;ROUND(E104/1000,3)&amp;" kWh)"</f>
        <v>#N/A</v>
      </c>
    </row>
    <row r="105" spans="1:7" ht="15" customHeight="1">
      <c r="A105" s="511"/>
      <c r="B105" s="512"/>
      <c r="C105" s="517"/>
      <c r="D105" s="43" t="s">
        <v>169</v>
      </c>
      <c r="E105" s="72">
        <f>IF(ISERROR(E104/E103),0,IF((E104/E103)&lt;&gt;1,(1-(E104/E103)^IF(E96&gt;12,1+('Inertie thermique (7)'!$C$6/$C$5)/16,2.5))/(1-(E104/E103)^(IF(E96&gt;12,1+('Inertie thermique (7)'!$C$6/$C$5)/16,2.5)+1)),IF(E96&gt;12,1+('Inertie thermique (7)'!$C$6/$C$5)/16,2.5)/(IF(E96&gt;12,1+('Inertie thermique (7)'!$C$6/$C$5)/16,2.5)+1)))</f>
        <v>0</v>
      </c>
      <c r="F105" s="41" t="s">
        <v>4</v>
      </c>
      <c r="G105" s="44"/>
    </row>
    <row r="106" spans="1:7" ht="15" customHeight="1" thickBot="1">
      <c r="A106" s="511"/>
      <c r="B106" s="514"/>
      <c r="C106" s="513"/>
      <c r="D106" s="28" t="s">
        <v>216</v>
      </c>
      <c r="E106" s="70" t="e">
        <f>E103-E104*E105</f>
        <v>#N/A</v>
      </c>
      <c r="F106" s="28" t="s">
        <v>114</v>
      </c>
      <c r="G106" s="105" t="e">
        <f>"("&amp;ROUND(E106/1000,3)&amp;" kWh)"</f>
        <v>#N/A</v>
      </c>
    </row>
    <row r="107" spans="1:7" ht="15" customHeight="1">
      <c r="A107" s="512"/>
      <c r="B107" s="518" t="s">
        <v>307</v>
      </c>
      <c r="C107" s="519"/>
      <c r="D107" s="519"/>
      <c r="E107" s="92" t="e">
        <f>E97+E103</f>
        <v>#N/A</v>
      </c>
      <c r="F107" s="106" t="s">
        <v>114</v>
      </c>
      <c r="G107" s="107" t="e">
        <f>"("&amp;ROUND(E107/1000,3)&amp;" kWh)"</f>
        <v>#N/A</v>
      </c>
    </row>
    <row r="108" spans="1:7" ht="15" customHeight="1" thickBot="1">
      <c r="A108" s="513"/>
      <c r="B108" s="475" t="s">
        <v>308</v>
      </c>
      <c r="C108" s="476"/>
      <c r="D108" s="476"/>
      <c r="E108" s="79" t="e">
        <f>E100+E106</f>
        <v>#N/A</v>
      </c>
      <c r="F108" s="77" t="s">
        <v>114</v>
      </c>
      <c r="G108" s="78" t="e">
        <f>"("&amp;ROUND(E108/1000,3)&amp;" kWh)"</f>
        <v>#N/A</v>
      </c>
    </row>
    <row r="109" spans="1:7" ht="15" customHeight="1" thickBot="1">
      <c r="A109" s="536"/>
      <c r="B109" s="537"/>
      <c r="C109" s="537"/>
      <c r="D109" s="537"/>
      <c r="E109" s="537"/>
      <c r="F109" s="537"/>
      <c r="G109" s="538"/>
    </row>
    <row r="110" spans="1:7" ht="15" customHeight="1">
      <c r="A110" s="524" t="s">
        <v>220</v>
      </c>
      <c r="B110" s="525"/>
      <c r="C110" s="525"/>
      <c r="D110" s="525"/>
      <c r="E110" s="525"/>
      <c r="F110" s="525"/>
      <c r="G110" s="526"/>
    </row>
    <row r="111" spans="1:7" ht="15" customHeight="1">
      <c r="A111" s="477" t="s">
        <v>162</v>
      </c>
      <c r="B111" s="478"/>
      <c r="C111" s="29" t="e">
        <f>E23+E37+E51+E65+E79+E93+E107</f>
        <v>#N/A</v>
      </c>
      <c r="D111" s="25" t="s">
        <v>114</v>
      </c>
      <c r="E111" s="82" t="e">
        <f>"("&amp;ROUND(C111/1000,3)&amp;" kWh)"</f>
        <v>#N/A</v>
      </c>
      <c r="F111" s="530"/>
      <c r="G111" s="492"/>
    </row>
    <row r="112" spans="1:7" ht="15" customHeight="1">
      <c r="A112" s="477" t="s">
        <v>371</v>
      </c>
      <c r="B112" s="478"/>
      <c r="C112" s="29" t="e">
        <f>E24+E38+E52+E66+E80+E94+E108</f>
        <v>#N/A</v>
      </c>
      <c r="D112" s="25" t="s">
        <v>114</v>
      </c>
      <c r="E112" s="82" t="e">
        <f>"("&amp;ROUND(C112/1000,3)&amp;" kWh)"</f>
        <v>#N/A</v>
      </c>
      <c r="F112" s="493"/>
      <c r="G112" s="494"/>
    </row>
    <row r="113" spans="1:7" ht="15" customHeight="1" thickBot="1">
      <c r="A113" s="489" t="s">
        <v>372</v>
      </c>
      <c r="B113" s="490"/>
      <c r="C113" s="79" t="e">
        <f>E14+E20+E28+E34+E42+E48+E56+E62+E70+E76+E84+E90+E98+E104</f>
        <v>#N/A</v>
      </c>
      <c r="D113" s="25" t="s">
        <v>114</v>
      </c>
      <c r="E113" s="82" t="e">
        <f>"("&amp;ROUND(C113/1000,3)&amp;" kWh)"</f>
        <v>#N/A</v>
      </c>
      <c r="F113" s="495"/>
      <c r="G113" s="496"/>
    </row>
    <row r="114" spans="1:7" ht="15" customHeight="1" thickBot="1">
      <c r="A114" s="527"/>
      <c r="B114" s="528"/>
      <c r="C114" s="528"/>
      <c r="D114" s="528"/>
      <c r="E114" s="528"/>
      <c r="F114" s="528"/>
      <c r="G114" s="529"/>
    </row>
    <row r="115" spans="1:7" ht="15" customHeight="1">
      <c r="A115" s="524" t="s">
        <v>165</v>
      </c>
      <c r="B115" s="525"/>
      <c r="C115" s="525"/>
      <c r="D115" s="525"/>
      <c r="E115" s="525"/>
      <c r="F115" s="525"/>
      <c r="G115" s="526"/>
    </row>
    <row r="116" spans="1:7" ht="15" customHeight="1">
      <c r="A116" s="486" t="s">
        <v>366</v>
      </c>
      <c r="B116" s="497"/>
      <c r="C116" s="43">
        <f>IF('Logement (1)'!$C$49="Oui",'Logement (1)'!$C$51,0)</f>
        <v>0</v>
      </c>
      <c r="D116" s="24" t="s">
        <v>164</v>
      </c>
      <c r="E116" s="478"/>
      <c r="F116" s="491"/>
      <c r="G116" s="492"/>
    </row>
    <row r="117" spans="1:7" ht="15" customHeight="1">
      <c r="A117" s="486" t="s">
        <v>228</v>
      </c>
      <c r="B117" s="497"/>
      <c r="C117" s="43">
        <f>'Logement (1)'!C52</f>
        <v>0</v>
      </c>
      <c r="D117" s="24" t="s">
        <v>7</v>
      </c>
      <c r="E117" s="478"/>
      <c r="F117" s="493"/>
      <c r="G117" s="494"/>
    </row>
    <row r="118" spans="1:7" ht="15" customHeight="1">
      <c r="A118" s="486" t="s">
        <v>204</v>
      </c>
      <c r="B118" s="497"/>
      <c r="C118" s="43" t="e">
        <f>IF(C8&gt;=C117,0,$C$5*($C$117-$C$8))</f>
        <v>#N/A</v>
      </c>
      <c r="D118" s="43" t="s">
        <v>114</v>
      </c>
      <c r="E118" s="93" t="e">
        <f>"("&amp;ROUND(C118/1000,3)&amp;" kWh)"</f>
        <v>#N/A</v>
      </c>
      <c r="F118" s="493"/>
      <c r="G118" s="494"/>
    </row>
    <row r="119" spans="1:7" ht="15" customHeight="1">
      <c r="A119" s="486" t="s">
        <v>168</v>
      </c>
      <c r="B119" s="497"/>
      <c r="C119" s="43">
        <f>IF('Logement (1)'!C49="Oui",IF(C8&gt;=C117,0,$C$5*($C$117-$C$8)*24*C116),0)</f>
        <v>0</v>
      </c>
      <c r="D119" s="43" t="s">
        <v>114</v>
      </c>
      <c r="E119" s="93" t="str">
        <f>"("&amp;ROUND(C119/1000,3)&amp;" kWh)"</f>
        <v>(0 kWh)</v>
      </c>
      <c r="F119" s="493"/>
      <c r="G119" s="494"/>
    </row>
    <row r="120" spans="1:7" ht="15" customHeight="1">
      <c r="A120" s="477" t="s">
        <v>169</v>
      </c>
      <c r="B120" s="478"/>
      <c r="C120" s="72">
        <f>IF(ISERROR((('Apports solaires (3)'!E19+'Apports récupérables CH (6)'!C211)/C118)),0,IF((('Apports solaires (3)'!E19+'Apports récupérables CH (6)'!C211)/C118)&lt;&gt;1,(1-(('Apports solaires (3)'!E19+'Apports récupérables CH (6)'!C211)/C118)^2.5)/(1-(('Apports solaires (3)'!E19+'Apports récupérables CH (6)'!C211)/C118)^(2.5+1)),2.5/(2.6)))</f>
        <v>0</v>
      </c>
      <c r="D120" s="45" t="s">
        <v>4</v>
      </c>
      <c r="E120" s="80"/>
      <c r="F120" s="493"/>
      <c r="G120" s="494"/>
    </row>
    <row r="121" spans="1:7" ht="15" customHeight="1">
      <c r="A121" s="477" t="s">
        <v>260</v>
      </c>
      <c r="B121" s="478"/>
      <c r="C121" s="38" t="e">
        <f>('Apports solaires (3)'!E27*C116)+'Apports récupérables CH (6)'!C215</f>
        <v>#N/A</v>
      </c>
      <c r="D121" s="43" t="s">
        <v>114</v>
      </c>
      <c r="E121" s="93" t="e">
        <f>"("&amp;ROUND(C121/1000,3)&amp;" kWh)"</f>
        <v>#N/A</v>
      </c>
      <c r="F121" s="493"/>
      <c r="G121" s="494"/>
    </row>
    <row r="122" spans="1:7" ht="15" customHeight="1">
      <c r="A122" s="108"/>
      <c r="B122" s="108"/>
      <c r="C122" s="108"/>
      <c r="D122" s="108"/>
      <c r="E122" s="108"/>
      <c r="F122" s="493"/>
      <c r="G122" s="494"/>
    </row>
    <row r="123" spans="1:7" ht="15" customHeight="1" thickBot="1">
      <c r="A123" s="489" t="s">
        <v>305</v>
      </c>
      <c r="B123" s="490"/>
      <c r="C123" s="77" t="e">
        <f>C119-(C121*C120)</f>
        <v>#N/A</v>
      </c>
      <c r="D123" s="77" t="s">
        <v>114</v>
      </c>
      <c r="E123" s="83" t="e">
        <f>"("&amp;ROUND(C123/1000,3)&amp;" kWh)"</f>
        <v>#N/A</v>
      </c>
      <c r="F123" s="495"/>
      <c r="G123" s="496"/>
    </row>
    <row r="124" spans="1:7" ht="15" customHeight="1" thickBot="1">
      <c r="A124" s="531"/>
      <c r="B124" s="532"/>
      <c r="C124" s="532"/>
      <c r="D124" s="532"/>
      <c r="E124" s="532"/>
      <c r="F124" s="532"/>
      <c r="G124" s="533"/>
    </row>
    <row r="125" spans="1:9" ht="15" customHeight="1">
      <c r="A125" s="524" t="str">
        <f>"Valeurs pour le mois "&amp;IF(OR($C$4="avril",$C$4="août",$C$4="octobre"),"d'","de ")&amp;IF(C4&lt;&gt;0,C4,"")</f>
        <v>Valeurs pour le mois de </v>
      </c>
      <c r="B125" s="525"/>
      <c r="C125" s="525"/>
      <c r="D125" s="525"/>
      <c r="E125" s="525"/>
      <c r="F125" s="525"/>
      <c r="G125" s="526"/>
      <c r="I125" s="112"/>
    </row>
    <row r="126" spans="1:7" ht="15" customHeight="1">
      <c r="A126" s="539" t="str">
        <f>"Nombre de jours du mois "&amp;IF(OR(C4="avril",C4="août",C4="octobre"),"d'","de ")&amp;IF(C4&lt;&gt;0,C4,"")&amp;" :"</f>
        <v>Nombre de jours du mois de  :</v>
      </c>
      <c r="B126" s="540"/>
      <c r="C126" s="115">
        <f>'Logement (1)'!C53</f>
        <v>31</v>
      </c>
      <c r="D126" s="115" t="s">
        <v>164</v>
      </c>
      <c r="E126" s="115"/>
      <c r="F126" s="530"/>
      <c r="G126" s="492"/>
    </row>
    <row r="127" spans="1:7" ht="15" customHeight="1">
      <c r="A127" s="534" t="str">
        <f>"Nombre de jours de chauffage restants (hors vacances) pour le mois "&amp;IF(OR($C$4="avril",$C$4="août",$C$4="octobre"),"d'","de ")&amp;IF(C4&lt;&gt;0,C4,"")&amp;" :"</f>
        <v>Nombre de jours de chauffage restants (hors vacances) pour le mois de  :</v>
      </c>
      <c r="B127" s="535"/>
      <c r="C127" s="113">
        <f>'Logement (1)'!C56</f>
        <v>31</v>
      </c>
      <c r="D127" s="113" t="s">
        <v>164</v>
      </c>
      <c r="E127" s="113"/>
      <c r="F127" s="493"/>
      <c r="G127" s="494"/>
    </row>
    <row r="128" spans="1:7" ht="15" customHeight="1">
      <c r="A128" s="477"/>
      <c r="B128" s="478"/>
      <c r="F128" s="493"/>
      <c r="G128" s="494"/>
    </row>
    <row r="129" spans="1:10" ht="15" customHeight="1">
      <c r="A129" s="477" t="str">
        <f>"Déperditions thermiques des jours restants (hors vacances) pour le mois "&amp;IF(OR($C$4="avril",$C$4="août",$C$4="octobre"),"d'","de ")&amp;IF(C4&lt;&gt;0,C4,"")&amp;" :"</f>
        <v>Déperditions thermiques des jours restants (hors vacances) pour le mois de  :</v>
      </c>
      <c r="B129" s="478"/>
      <c r="C129" s="25" t="e">
        <f>C111*(C127/7)</f>
        <v>#N/A</v>
      </c>
      <c r="D129" s="25" t="s">
        <v>114</v>
      </c>
      <c r="E129" s="82" t="e">
        <f aca="true" t="shared" si="0" ref="E129:E134">"("&amp;ROUND(C129/1000,3)&amp;" kWh)"</f>
        <v>#N/A</v>
      </c>
      <c r="F129" s="493"/>
      <c r="G129" s="494"/>
      <c r="J129" s="112"/>
    </row>
    <row r="130" spans="1:7" ht="15" customHeight="1">
      <c r="A130" s="478" t="str">
        <f>"Déperditions thermiques totales du mois "&amp;IF(OR(C4="avril",C4="août",C4="octobre"),"d'","de ")&amp;IF(C4&lt;&gt;0,C4,"")&amp;" :"</f>
        <v>Déperditions thermiques totales du mois de  :</v>
      </c>
      <c r="B130" s="478"/>
      <c r="C130" s="25" t="e">
        <f>C119+C129</f>
        <v>#N/A</v>
      </c>
      <c r="D130" s="25" t="s">
        <v>114</v>
      </c>
      <c r="E130" s="82" t="e">
        <f t="shared" si="0"/>
        <v>#N/A</v>
      </c>
      <c r="F130" s="493"/>
      <c r="G130" s="494"/>
    </row>
    <row r="131" spans="1:7" ht="15" customHeight="1">
      <c r="A131" s="497" t="str">
        <f>"Apports thermiques des jours restants (hors vacances) pour le mois "&amp;IF(OR($C$4="avril",$C$4="août",$C$4="octobre"),"d'","de ")&amp;IF(C4&lt;&gt;0,C4,"")&amp;" :"</f>
        <v>Apports thermiques des jours restants (hors vacances) pour le mois de  :</v>
      </c>
      <c r="B131" s="478"/>
      <c r="C131" s="29" t="e">
        <f>C113*(C127/7)</f>
        <v>#N/A</v>
      </c>
      <c r="D131" s="25" t="s">
        <v>114</v>
      </c>
      <c r="E131" s="82" t="e">
        <f t="shared" si="0"/>
        <v>#N/A</v>
      </c>
      <c r="F131" s="493"/>
      <c r="G131" s="494"/>
    </row>
    <row r="132" spans="1:7" ht="15" customHeight="1">
      <c r="A132" s="477" t="str">
        <f>"Apports thermiques pour le mois "&amp;IF(OR(C4="avril",C4="août",C4="octobre"),"d'","de ")&amp;IF(C4&lt;&gt;0,C4,"")&amp;" :"</f>
        <v>Apports thermiques pour le mois de  :</v>
      </c>
      <c r="B132" s="478"/>
      <c r="C132" s="29" t="e">
        <f>C121+C131</f>
        <v>#N/A</v>
      </c>
      <c r="D132" s="25" t="s">
        <v>114</v>
      </c>
      <c r="E132" s="82" t="e">
        <f t="shared" si="0"/>
        <v>#N/A</v>
      </c>
      <c r="F132" s="493"/>
      <c r="G132" s="494"/>
    </row>
    <row r="133" spans="1:7" ht="15" customHeight="1">
      <c r="A133" s="486"/>
      <c r="B133" s="487"/>
      <c r="C133" s="487"/>
      <c r="D133" s="487"/>
      <c r="E133" s="497"/>
      <c r="F133" s="493"/>
      <c r="G133" s="494"/>
    </row>
    <row r="134" spans="1:7" ht="15" customHeight="1" thickBot="1">
      <c r="A134" s="475" t="str">
        <f>"Besoins thermiques pour le mois "&amp;IF(OR(C4="avril",C4="août",C4="octobre"),"d'","de ")&amp;IF(C4&lt;&gt;0,C4,"")&amp;" :"</f>
        <v>Besoins thermiques pour le mois de  :</v>
      </c>
      <c r="B134" s="476"/>
      <c r="C134" s="36" t="e">
        <f>C123+(C112*(C127/7))</f>
        <v>#N/A</v>
      </c>
      <c r="D134" s="48" t="s">
        <v>114</v>
      </c>
      <c r="E134" s="84" t="e">
        <f t="shared" si="0"/>
        <v>#N/A</v>
      </c>
      <c r="F134" s="495"/>
      <c r="G134" s="496"/>
    </row>
    <row r="136" spans="3:8" ht="12.75">
      <c r="C136" s="35"/>
      <c r="D136" s="19"/>
      <c r="E136" s="19"/>
      <c r="F136" s="19"/>
      <c r="G136" s="19"/>
      <c r="H136" s="19"/>
    </row>
    <row r="141" spans="1:5" ht="12.75">
      <c r="A141" s="31"/>
      <c r="B141" s="31"/>
      <c r="C141" s="26"/>
      <c r="D141" s="26"/>
      <c r="E141" s="30"/>
    </row>
  </sheetData>
  <sheetProtection sheet="1" objects="1" scenarios="1" selectLockedCells="1" selectUnlockedCells="1"/>
  <mergeCells count="97">
    <mergeCell ref="A5:B5"/>
    <mergeCell ref="A133:E133"/>
    <mergeCell ref="A126:B126"/>
    <mergeCell ref="F126:G134"/>
    <mergeCell ref="A121:B121"/>
    <mergeCell ref="A131:B131"/>
    <mergeCell ref="A132:B132"/>
    <mergeCell ref="A134:B134"/>
    <mergeCell ref="A129:B129"/>
    <mergeCell ref="A130:B130"/>
    <mergeCell ref="A128:B128"/>
    <mergeCell ref="B38:D38"/>
    <mergeCell ref="C53:C58"/>
    <mergeCell ref="C59:C64"/>
    <mergeCell ref="B66:D66"/>
    <mergeCell ref="B51:D51"/>
    <mergeCell ref="A125:G125"/>
    <mergeCell ref="A124:G124"/>
    <mergeCell ref="A127:B127"/>
    <mergeCell ref="A109:G109"/>
    <mergeCell ref="A115:G115"/>
    <mergeCell ref="E116:E117"/>
    <mergeCell ref="A116:B116"/>
    <mergeCell ref="A110:G110"/>
    <mergeCell ref="A114:G114"/>
    <mergeCell ref="A111:B111"/>
    <mergeCell ref="A112:B112"/>
    <mergeCell ref="A113:B113"/>
    <mergeCell ref="F111:G113"/>
    <mergeCell ref="A1:G1"/>
    <mergeCell ref="A11:A24"/>
    <mergeCell ref="A25:A38"/>
    <mergeCell ref="B25:B36"/>
    <mergeCell ref="C25:C30"/>
    <mergeCell ref="C31:C36"/>
    <mergeCell ref="B23:D23"/>
    <mergeCell ref="B37:D37"/>
    <mergeCell ref="A8:B8"/>
    <mergeCell ref="A7:B7"/>
    <mergeCell ref="A53:A66"/>
    <mergeCell ref="C17:C22"/>
    <mergeCell ref="B11:B22"/>
    <mergeCell ref="A39:A52"/>
    <mergeCell ref="B39:B50"/>
    <mergeCell ref="C39:C44"/>
    <mergeCell ref="C45:C50"/>
    <mergeCell ref="B52:D52"/>
    <mergeCell ref="C11:C16"/>
    <mergeCell ref="B24:D24"/>
    <mergeCell ref="A67:A80"/>
    <mergeCell ref="B67:B78"/>
    <mergeCell ref="C67:C72"/>
    <mergeCell ref="C73:C78"/>
    <mergeCell ref="B80:D80"/>
    <mergeCell ref="B79:D79"/>
    <mergeCell ref="B108:D108"/>
    <mergeCell ref="B53:B64"/>
    <mergeCell ref="C81:C86"/>
    <mergeCell ref="C87:C92"/>
    <mergeCell ref="B94:D94"/>
    <mergeCell ref="B93:D93"/>
    <mergeCell ref="B107:D107"/>
    <mergeCell ref="B65:D65"/>
    <mergeCell ref="A81:A94"/>
    <mergeCell ref="B81:B92"/>
    <mergeCell ref="G101:G102"/>
    <mergeCell ref="G95:G96"/>
    <mergeCell ref="G87:G88"/>
    <mergeCell ref="G81:G82"/>
    <mergeCell ref="A95:A108"/>
    <mergeCell ref="B95:B106"/>
    <mergeCell ref="C95:C100"/>
    <mergeCell ref="C101:C106"/>
    <mergeCell ref="G73:G74"/>
    <mergeCell ref="G67:G68"/>
    <mergeCell ref="G59:G60"/>
    <mergeCell ref="G53:G54"/>
    <mergeCell ref="G45:G46"/>
    <mergeCell ref="G39:G40"/>
    <mergeCell ref="G31:G32"/>
    <mergeCell ref="G25:G26"/>
    <mergeCell ref="A2:G2"/>
    <mergeCell ref="E3:G5"/>
    <mergeCell ref="G17:G18"/>
    <mergeCell ref="G11:G12"/>
    <mergeCell ref="A6:G6"/>
    <mergeCell ref="A9:G9"/>
    <mergeCell ref="A10:G10"/>
    <mergeCell ref="F7:G8"/>
    <mergeCell ref="A3:B3"/>
    <mergeCell ref="A4:B4"/>
    <mergeCell ref="A123:B123"/>
    <mergeCell ref="F116:G123"/>
    <mergeCell ref="A117:B117"/>
    <mergeCell ref="A118:B118"/>
    <mergeCell ref="A119:B119"/>
    <mergeCell ref="A120:B120"/>
  </mergeCells>
  <printOptions/>
  <pageMargins left="0.75" right="0.75" top="1" bottom="1" header="0.4921259845" footer="0.4921259845"/>
  <pageSetup orientation="portrait" paperSize="9" r:id="rId1"/>
</worksheet>
</file>

<file path=xl/worksheets/sheet9.xml><?xml version="1.0" encoding="utf-8"?>
<worksheet xmlns="http://schemas.openxmlformats.org/spreadsheetml/2006/main" xmlns:r="http://schemas.openxmlformats.org/officeDocument/2006/relationships">
  <sheetPr codeName="Feuil10"/>
  <dimension ref="A1:G21"/>
  <sheetViews>
    <sheetView showGridLines="0" workbookViewId="0" topLeftCell="A1">
      <selection activeCell="C9" sqref="C9"/>
    </sheetView>
  </sheetViews>
  <sheetFormatPr defaultColWidth="11.421875" defaultRowHeight="12.75"/>
  <cols>
    <col min="1" max="2" width="26.57421875" style="5" customWidth="1"/>
    <col min="3" max="3" width="22.00390625" style="5" customWidth="1"/>
    <col min="4" max="4" width="5.8515625" style="5" customWidth="1"/>
    <col min="5" max="5" width="17.28125" style="5" customWidth="1"/>
    <col min="6" max="16384" width="11.421875" style="5" customWidth="1"/>
  </cols>
  <sheetData>
    <row r="1" spans="1:5" ht="15" customHeight="1" thickBot="1">
      <c r="A1" s="543" t="s">
        <v>183</v>
      </c>
      <c r="B1" s="544"/>
      <c r="C1" s="544"/>
      <c r="D1" s="544"/>
      <c r="E1" s="438"/>
    </row>
    <row r="2" spans="1:5" ht="15" customHeight="1">
      <c r="A2" s="545"/>
      <c r="B2" s="361"/>
      <c r="C2" s="361"/>
      <c r="D2" s="361"/>
      <c r="E2" s="362"/>
    </row>
    <row r="3" spans="1:5" ht="15" customHeight="1">
      <c r="A3" s="308" t="s">
        <v>504</v>
      </c>
      <c r="B3" s="350"/>
      <c r="C3" s="96">
        <f>'Logement (1)'!D3</f>
        <v>0</v>
      </c>
      <c r="D3" s="54" t="s">
        <v>4</v>
      </c>
      <c r="E3" s="316"/>
    </row>
    <row r="4" spans="1:5" ht="15" customHeight="1">
      <c r="A4" s="308" t="s">
        <v>503</v>
      </c>
      <c r="B4" s="350"/>
      <c r="C4" s="96">
        <f>'Logement (1)'!D4</f>
        <v>0</v>
      </c>
      <c r="D4" s="54"/>
      <c r="E4" s="316"/>
    </row>
    <row r="5" spans="1:5" ht="15" customHeight="1">
      <c r="A5" s="308" t="s">
        <v>6</v>
      </c>
      <c r="B5" s="350"/>
      <c r="C5" s="96">
        <f>'Logement (1)'!D10</f>
        <v>0</v>
      </c>
      <c r="D5" s="54" t="s">
        <v>4</v>
      </c>
      <c r="E5" s="316"/>
    </row>
    <row r="6" spans="1:5" ht="15" customHeight="1">
      <c r="A6" s="349" t="s">
        <v>1</v>
      </c>
      <c r="B6" s="350"/>
      <c r="C6" s="52">
        <f>'Logement (1)'!D7</f>
        <v>0</v>
      </c>
      <c r="D6" s="54" t="s">
        <v>4</v>
      </c>
      <c r="E6" s="316"/>
    </row>
    <row r="7" spans="1:5" ht="15" customHeight="1">
      <c r="A7" s="349" t="str">
        <f>"Température de l'eau froide pour le mois "&amp;IF(OR(C5="avril",C5="août",C5="octobre"),"d'","de ")&amp;IF(C5&lt;&gt;0,C5,"")&amp;" :"</f>
        <v>Température de l'eau froide pour le mois de  :</v>
      </c>
      <c r="B7" s="350"/>
      <c r="C7" s="52" t="e">
        <f>INDEX(T!B8:M10,MATCH(C4,T!A8:A10,0),MATCH(C5,T!B7:M7,0))</f>
        <v>#N/A</v>
      </c>
      <c r="D7" s="52" t="s">
        <v>7</v>
      </c>
      <c r="E7" s="316"/>
    </row>
    <row r="8" spans="1:5" ht="15" customHeight="1">
      <c r="A8" s="134" t="str">
        <f>"Nombre de jours du mois "&amp;IF(OR(C5="avril",C5="août",C5="octobre"),"d'","de ")&amp;IF(C5&lt;&gt;0,C5,"")&amp;" :"</f>
        <v>Nombre de jours du mois de  :</v>
      </c>
      <c r="B8" s="52"/>
      <c r="C8" s="52">
        <f>'Logement (1)'!C53</f>
        <v>31</v>
      </c>
      <c r="D8" s="74" t="s">
        <v>164</v>
      </c>
      <c r="E8" s="316"/>
    </row>
    <row r="9" spans="1:5" ht="15" customHeight="1">
      <c r="A9" s="349" t="s">
        <v>188</v>
      </c>
      <c r="B9" s="350"/>
      <c r="C9" s="42"/>
      <c r="D9" s="74" t="s">
        <v>184</v>
      </c>
      <c r="E9" s="316"/>
    </row>
    <row r="10" spans="1:5" ht="15" customHeight="1">
      <c r="A10" s="349" t="s">
        <v>99</v>
      </c>
      <c r="B10" s="350"/>
      <c r="C10" s="42"/>
      <c r="D10" s="74" t="s">
        <v>7</v>
      </c>
      <c r="E10" s="316"/>
    </row>
    <row r="11" spans="1:5" ht="15" customHeight="1" thickBot="1">
      <c r="A11" s="308"/>
      <c r="B11" s="350"/>
      <c r="C11" s="350"/>
      <c r="D11" s="350"/>
      <c r="E11" s="316"/>
    </row>
    <row r="12" spans="1:5" ht="15" customHeight="1">
      <c r="A12" s="546" t="s">
        <v>165</v>
      </c>
      <c r="B12" s="549"/>
      <c r="C12" s="549"/>
      <c r="D12" s="549"/>
      <c r="E12" s="550"/>
    </row>
    <row r="13" spans="1:5" ht="15" customHeight="1">
      <c r="A13" s="308" t="s">
        <v>163</v>
      </c>
      <c r="B13" s="350"/>
      <c r="C13" s="74">
        <f>IF('Logement (1)'!C49="Oui",'Logement (1)'!C50,0)</f>
        <v>0</v>
      </c>
      <c r="D13" s="52" t="s">
        <v>164</v>
      </c>
      <c r="E13" s="168"/>
    </row>
    <row r="14" spans="1:5" ht="15" customHeight="1" thickBot="1">
      <c r="A14" s="341" t="s">
        <v>167</v>
      </c>
      <c r="B14" s="342"/>
      <c r="C14" s="63">
        <f>C8-C13</f>
        <v>31</v>
      </c>
      <c r="D14" s="63" t="s">
        <v>164</v>
      </c>
      <c r="E14" s="167"/>
    </row>
    <row r="15" spans="1:5" ht="15" customHeight="1" thickBot="1">
      <c r="A15" s="551"/>
      <c r="B15" s="462"/>
      <c r="C15" s="462"/>
      <c r="D15" s="462"/>
      <c r="E15" s="346"/>
    </row>
    <row r="16" spans="1:7" ht="15" customHeight="1">
      <c r="A16" s="546" t="s">
        <v>185</v>
      </c>
      <c r="B16" s="547"/>
      <c r="C16" s="547"/>
      <c r="D16" s="547"/>
      <c r="E16" s="548"/>
      <c r="F16" s="208"/>
      <c r="G16" s="208"/>
    </row>
    <row r="17" spans="1:7" ht="15" customHeight="1">
      <c r="A17" s="541" t="s">
        <v>187</v>
      </c>
      <c r="B17" s="296"/>
      <c r="C17" s="209">
        <f>C9*C6</f>
        <v>0</v>
      </c>
      <c r="D17" s="210" t="s">
        <v>77</v>
      </c>
      <c r="E17" s="316"/>
      <c r="F17" s="17"/>
      <c r="G17" s="17"/>
    </row>
    <row r="18" spans="1:7" ht="15" customHeight="1">
      <c r="A18" s="541" t="str">
        <f>"Volume d'eau chaude pour le mois "&amp;IF(OR(C5="avril",C5="août",C5="octobre"),"d'","de ")&amp;IF(C5&lt;&gt;0,C5,"")&amp;" :"</f>
        <v>Volume d'eau chaude pour le mois de  :</v>
      </c>
      <c r="B18" s="296"/>
      <c r="C18" s="209">
        <f>C17*C14</f>
        <v>0</v>
      </c>
      <c r="D18" s="210" t="s">
        <v>77</v>
      </c>
      <c r="E18" s="316"/>
      <c r="F18" s="17"/>
      <c r="G18" s="17"/>
    </row>
    <row r="19" spans="1:7" ht="15" customHeight="1">
      <c r="A19" s="542"/>
      <c r="B19" s="275"/>
      <c r="C19" s="275"/>
      <c r="D19" s="275"/>
      <c r="E19" s="288"/>
      <c r="F19" s="17"/>
      <c r="G19" s="17"/>
    </row>
    <row r="20" spans="1:7" ht="15" customHeight="1">
      <c r="A20" s="308" t="s">
        <v>186</v>
      </c>
      <c r="B20" s="350"/>
      <c r="C20" s="61" t="e">
        <f>1.1628*C17*(C10-C7)</f>
        <v>#N/A</v>
      </c>
      <c r="D20" s="60" t="s">
        <v>114</v>
      </c>
      <c r="E20" s="62" t="e">
        <f>"("&amp;ROUND(C20/1000,3)&amp;" kWh)"</f>
        <v>#N/A</v>
      </c>
      <c r="F20" s="17"/>
      <c r="G20" s="17"/>
    </row>
    <row r="21" spans="1:7" ht="15" customHeight="1" thickBot="1">
      <c r="A21" s="341" t="str">
        <f>"Besoins ECS pour le mois "&amp;IF(OR(C5="avril",C5="août",C5="octobre"),"d'","de ")&amp;IF(C5&lt;&gt;0,C5,"")&amp;" :"</f>
        <v>Besoins ECS pour le mois de  :</v>
      </c>
      <c r="B21" s="342"/>
      <c r="C21" s="65" t="e">
        <f>C20*C14</f>
        <v>#N/A</v>
      </c>
      <c r="D21" s="64" t="s">
        <v>114</v>
      </c>
      <c r="E21" s="66" t="e">
        <f>"("&amp;ROUND(C21/1000,3)&amp;" kWh)"</f>
        <v>#N/A</v>
      </c>
      <c r="F21" s="17"/>
      <c r="G21" s="17"/>
    </row>
  </sheetData>
  <sheetProtection sheet="1" objects="1" scenarios="1" selectLockedCells="1"/>
  <mergeCells count="22">
    <mergeCell ref="A16:E16"/>
    <mergeCell ref="A6:B6"/>
    <mergeCell ref="A7:B7"/>
    <mergeCell ref="A9:B9"/>
    <mergeCell ref="A12:E12"/>
    <mergeCell ref="A15:E15"/>
    <mergeCell ref="A13:B13"/>
    <mergeCell ref="A14:B14"/>
    <mergeCell ref="A10:B10"/>
    <mergeCell ref="A11:E11"/>
    <mergeCell ref="A1:E1"/>
    <mergeCell ref="A2:E2"/>
    <mergeCell ref="A3:B3"/>
    <mergeCell ref="A5:B5"/>
    <mergeCell ref="E3:E10"/>
    <mergeCell ref="A4:B4"/>
    <mergeCell ref="A21:B21"/>
    <mergeCell ref="A17:B17"/>
    <mergeCell ref="A18:B18"/>
    <mergeCell ref="E17:E18"/>
    <mergeCell ref="A20:B20"/>
    <mergeCell ref="A19:E19"/>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Silve Hervé</dc:creator>
  <cp:keywords/>
  <dc:description/>
  <cp:lastModifiedBy>Silve Hervé</cp:lastModifiedBy>
  <cp:lastPrinted>2004-12-02T21:38:46Z</cp:lastPrinted>
  <dcterms:created xsi:type="dcterms:W3CDTF">2004-10-09T07:20:41Z</dcterms:created>
  <dcterms:modified xsi:type="dcterms:W3CDTF">2004-12-28T16:34:59Z</dcterms:modified>
  <cp:category/>
  <cp:version/>
  <cp:contentType/>
  <cp:contentStatus/>
</cp:coreProperties>
</file>