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11016" activeTab="0"/>
  </bookViews>
  <sheets>
    <sheet name="Multi-stage DDM" sheetId="1" r:id="rId1"/>
    <sheet name="GG Model" sheetId="2" r:id="rId2"/>
    <sheet name="Discounted Div." sheetId="3" r:id="rId3"/>
    <sheet name="Justified PE" sheetId="4" r:id="rId4"/>
    <sheet name="2-Stage" sheetId="5" r:id="rId5"/>
    <sheet name="H-Model" sheetId="6" r:id="rId6"/>
    <sheet name="3-Stage" sheetId="7" r:id="rId7"/>
    <sheet name="SGR" sheetId="8" r:id="rId8"/>
  </sheets>
  <definedNames/>
  <calcPr fullCalcOnLoad="1"/>
</workbook>
</file>

<file path=xl/sharedStrings.xml><?xml version="1.0" encoding="utf-8"?>
<sst xmlns="http://schemas.openxmlformats.org/spreadsheetml/2006/main" count="150" uniqueCount="115">
  <si>
    <t>ASSUMPTIONS</t>
  </si>
  <si>
    <t>equals</t>
  </si>
  <si>
    <t>r</t>
  </si>
  <si>
    <t>required return on equity</t>
  </si>
  <si>
    <t>Total Value of Common Stock</t>
  </si>
  <si>
    <t>Chapter 3 - Discounted Dividend Valuation</t>
  </si>
  <si>
    <t>Example for Slides 5-6</t>
  </si>
  <si>
    <t>D</t>
  </si>
  <si>
    <t>dividend per share</t>
  </si>
  <si>
    <t>P</t>
  </si>
  <si>
    <t>expected price per share</t>
  </si>
  <si>
    <t>Using a Multi-Stage Dividend Discount Model to Value Common Stock</t>
  </si>
  <si>
    <t>OUTPUT - Valuing Common Stock using a DDM</t>
  </si>
  <si>
    <t>PV of the Dividends</t>
  </si>
  <si>
    <t>PV of the Expected Price</t>
  </si>
  <si>
    <t>PV of the Total Dividend Stream</t>
  </si>
  <si>
    <t>Risk-free rate</t>
  </si>
  <si>
    <t>Equity risk premium</t>
  </si>
  <si>
    <t>Beta</t>
  </si>
  <si>
    <t>CAPM Required Return</t>
  </si>
  <si>
    <t>Dividend growth rate</t>
  </si>
  <si>
    <t>Current dividend</t>
  </si>
  <si>
    <t>Stock Value</t>
  </si>
  <si>
    <t>Current Stock Price</t>
  </si>
  <si>
    <t>Valuation</t>
  </si>
  <si>
    <t>Stock Value if Preferred</t>
  </si>
  <si>
    <t>OUTPUT - CAPM Required Return &amp; Common Stock Valuation</t>
  </si>
  <si>
    <t>OUTPUT - Preferred Stock Valuation</t>
  </si>
  <si>
    <t>assumes preferred is noncallable with a dividend growth rate equal to zero</t>
  </si>
  <si>
    <t>Implied dividend growth rate</t>
  </si>
  <si>
    <t>OUTPUT -  Deriving an Implied Growth Rate</t>
  </si>
  <si>
    <t>Stock price</t>
  </si>
  <si>
    <t>Expected earnings</t>
  </si>
  <si>
    <t>Required return on stock</t>
  </si>
  <si>
    <t>P/E firm</t>
  </si>
  <si>
    <t>No-growth value</t>
  </si>
  <si>
    <t>Calculating the justified leading and trailing P/Es based on fundamentals using the Gordon growth model</t>
  </si>
  <si>
    <t>Trailing earnings per share</t>
  </si>
  <si>
    <t>Current dividends per share</t>
  </si>
  <si>
    <t>OUTPUT -  Calculating the justified leading  P/E</t>
  </si>
  <si>
    <t>OUTPUT -  Calculating the justified trailing P/E</t>
  </si>
  <si>
    <t>Dividend payout ratio</t>
  </si>
  <si>
    <t>Actual P/E</t>
  </si>
  <si>
    <t>Example for Slides 8-11, 13</t>
  </si>
  <si>
    <t>Capital gain (dividend growth rate)</t>
  </si>
  <si>
    <t>Dividend Yield</t>
  </si>
  <si>
    <t>Total implied required return</t>
  </si>
  <si>
    <t>OUTPUT -  Deriving an Implied Required Return</t>
  </si>
  <si>
    <t>Using the CAPM &amp; Gordon Growth Model to Value Common and Preferred Stock and deriving an implied growth rate and required return</t>
  </si>
  <si>
    <t>Example for Slides 21-23</t>
  </si>
  <si>
    <t>Justified leading P/E</t>
  </si>
  <si>
    <t>Justified trailing P/E</t>
  </si>
  <si>
    <t>Calculating the stock value using the General 2-stage DDM</t>
  </si>
  <si>
    <t>D0</t>
  </si>
  <si>
    <t>D1</t>
  </si>
  <si>
    <t>D2</t>
  </si>
  <si>
    <t>D3</t>
  </si>
  <si>
    <t>D4</t>
  </si>
  <si>
    <t>P4</t>
  </si>
  <si>
    <t>g1</t>
  </si>
  <si>
    <t>g2</t>
  </si>
  <si>
    <t>PV(D1)</t>
  </si>
  <si>
    <t>PV(D2)</t>
  </si>
  <si>
    <t>PV(D3)</t>
  </si>
  <si>
    <t>t</t>
  </si>
  <si>
    <t>Value of Stock</t>
  </si>
  <si>
    <t>PV(P3)</t>
  </si>
  <si>
    <t>OUTPUT -  Calculating the PV of the dividend stream and the stock value using the Gordon Growth Model for the terminal value</t>
  </si>
  <si>
    <t>OUTPUT -  Calculating the PV of the dividend stream and the stock value using the P/E ratio for the terminal value</t>
  </si>
  <si>
    <t>Projected trailing P/E ratio in year 4</t>
  </si>
  <si>
    <t>Projected dividend payout ratio in year 4</t>
  </si>
  <si>
    <t>ASSUMPTIONS -  Calculating the PV of the dividend stream and the stock value using the Gordon Growth Model for the terminal value</t>
  </si>
  <si>
    <t>Projected earnings in year 4</t>
  </si>
  <si>
    <t>Projected stock price in year 4</t>
  </si>
  <si>
    <t>Present value of projected year 4 stock price &amp; dividend</t>
  </si>
  <si>
    <t>ADDITIONAL ASSUMPTIONS -  Calculating the PV of the dividend stream and the stock value using the P/E ratio for the terminal value</t>
  </si>
  <si>
    <t>H</t>
  </si>
  <si>
    <t>OUTPUT -  Calculating the stock value using the H-Model</t>
  </si>
  <si>
    <r>
      <t>g</t>
    </r>
    <r>
      <rPr>
        <vertAlign val="subscript"/>
        <sz val="12"/>
        <color indexed="8"/>
        <rFont val="Calibri"/>
        <family val="2"/>
      </rPr>
      <t>s</t>
    </r>
  </si>
  <si>
    <r>
      <t>g</t>
    </r>
    <r>
      <rPr>
        <vertAlign val="subscript"/>
        <sz val="12"/>
        <color indexed="8"/>
        <rFont val="Calibri"/>
        <family val="2"/>
      </rPr>
      <t>L</t>
    </r>
  </si>
  <si>
    <t>Calculating the stock value using the 2-stage H-Model</t>
  </si>
  <si>
    <t>Value of normal growth</t>
  </si>
  <si>
    <t xml:space="preserve">ASSUMPTIONS </t>
  </si>
  <si>
    <t>of total stock value</t>
  </si>
  <si>
    <t>OUTPUT -  Calculating the stock value using the 3-stage DDM, using the H-Model for the last 2 stages</t>
  </si>
  <si>
    <t>ASSUMPTIONS - assumes duration of 1st stage is 2 years</t>
  </si>
  <si>
    <r>
      <t>D</t>
    </r>
    <r>
      <rPr>
        <vertAlign val="subscript"/>
        <sz val="12"/>
        <color indexed="8"/>
        <rFont val="Calibri"/>
        <family val="2"/>
      </rPr>
      <t>1</t>
    </r>
  </si>
  <si>
    <r>
      <t>D</t>
    </r>
    <r>
      <rPr>
        <vertAlign val="subscript"/>
        <sz val="12"/>
        <color indexed="8"/>
        <rFont val="Calibri"/>
        <family val="2"/>
      </rPr>
      <t>2</t>
    </r>
  </si>
  <si>
    <t>Value</t>
  </si>
  <si>
    <r>
      <t>PV</t>
    </r>
    <r>
      <rPr>
        <vertAlign val="subscript"/>
        <sz val="12"/>
        <color indexed="8"/>
        <rFont val="Calibri"/>
        <family val="2"/>
      </rPr>
      <t>0</t>
    </r>
  </si>
  <si>
    <t>Value of high growth</t>
  </si>
  <si>
    <t>Calculating the stock value using the 3-stage DDM, using the H-Model for the last 2 stages.  Note: Assumes 1st Stage=2 years</t>
  </si>
  <si>
    <t>H-Model Inputs</t>
  </si>
  <si>
    <t>3rd Stage Value</t>
  </si>
  <si>
    <t>2nd Stage Value</t>
  </si>
  <si>
    <t>1st Stage Value</t>
  </si>
  <si>
    <t>OUTPUT -  Calculating the required return implied by the current stock price</t>
  </si>
  <si>
    <t>Calculating the sustainable growth rate using the DuPont formula</t>
  </si>
  <si>
    <t>Example for Slides 42-43</t>
  </si>
  <si>
    <t>Equity Multiplier</t>
  </si>
  <si>
    <t>Net Profit Margin</t>
  </si>
  <si>
    <t>Total Asset Turnover</t>
  </si>
  <si>
    <t>OUTPUT</t>
  </si>
  <si>
    <t xml:space="preserve">Return on Equity </t>
  </si>
  <si>
    <t xml:space="preserve">Return on Assets </t>
  </si>
  <si>
    <t>Retention Ratio</t>
  </si>
  <si>
    <t>Sustainable growth rate</t>
  </si>
  <si>
    <t>PV of the Expected Stock Price</t>
  </si>
  <si>
    <t>Example for Slides 33-35</t>
  </si>
  <si>
    <t>Example for Slides 37-38</t>
  </si>
  <si>
    <r>
      <t>g</t>
    </r>
    <r>
      <rPr>
        <vertAlign val="subscript"/>
        <sz val="11"/>
        <color indexed="8"/>
        <rFont val="Calibri"/>
        <family val="2"/>
      </rPr>
      <t>s</t>
    </r>
  </si>
  <si>
    <r>
      <t>g</t>
    </r>
    <r>
      <rPr>
        <vertAlign val="subscript"/>
        <sz val="11"/>
        <color indexed="8"/>
        <rFont val="Calibri"/>
        <family val="2"/>
      </rPr>
      <t>L</t>
    </r>
  </si>
  <si>
    <t>OUTPUT -  Calculating the Growth Value</t>
  </si>
  <si>
    <t xml:space="preserve">OUTPUT -  Calculating the component of the P/E ratio </t>
  </si>
  <si>
    <t xml:space="preserve">Calculating the stock and the component of the P/E ratio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</si>
</sst>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$&quot;#,##0.00"/>
    <numFmt numFmtId="171" formatCode="0.0%"/>
    <numFmt numFmtId="172" formatCode="0.0"/>
    <numFmt numFmtId="173" formatCode="0.000"/>
    <numFmt numFmtId="174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i/>
      <sz val="12"/>
      <name val="Calibri"/>
      <family val="2"/>
    </font>
    <font>
      <i/>
      <sz val="12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171" fontId="49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170" fontId="49" fillId="0" borderId="0" xfId="44" applyNumberFormat="1" applyFont="1" applyBorder="1" applyAlignment="1">
      <alignment/>
    </xf>
    <xf numFmtId="8" fontId="49" fillId="0" borderId="0" xfId="0" applyNumberFormat="1" applyFont="1" applyBorder="1" applyAlignment="1">
      <alignment/>
    </xf>
    <xf numFmtId="9" fontId="4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10" fontId="0" fillId="0" borderId="0" xfId="57" applyNumberFormat="1" applyFont="1" applyBorder="1" applyAlignment="1">
      <alignment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/>
    </xf>
    <xf numFmtId="9" fontId="51" fillId="0" borderId="0" xfId="0" applyNumberFormat="1" applyFont="1" applyAlignment="1">
      <alignment/>
    </xf>
    <xf numFmtId="171" fontId="51" fillId="0" borderId="0" xfId="57" applyNumberFormat="1" applyFont="1" applyAlignment="1">
      <alignment/>
    </xf>
    <xf numFmtId="172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173" fontId="51" fillId="0" borderId="0" xfId="0" applyNumberFormat="1" applyFont="1" applyAlignment="1">
      <alignment/>
    </xf>
    <xf numFmtId="174" fontId="51" fillId="0" borderId="0" xfId="42" applyNumberFormat="1" applyFont="1" applyAlignment="1">
      <alignment/>
    </xf>
    <xf numFmtId="173" fontId="51" fillId="0" borderId="0" xfId="0" applyNumberFormat="1" applyFont="1" applyAlignment="1">
      <alignment horizontal="center"/>
    </xf>
    <xf numFmtId="8" fontId="51" fillId="0" borderId="0" xfId="0" applyNumberFormat="1" applyFont="1" applyAlignment="1">
      <alignment horizontal="right"/>
    </xf>
    <xf numFmtId="170" fontId="51" fillId="0" borderId="0" xfId="44" applyNumberFormat="1" applyFont="1" applyAlignment="1">
      <alignment horizontal="right"/>
    </xf>
    <xf numFmtId="171" fontId="51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9" fontId="53" fillId="0" borderId="0" xfId="57" applyFont="1" applyAlignment="1">
      <alignment/>
    </xf>
    <xf numFmtId="2" fontId="53" fillId="0" borderId="0" xfId="0" applyNumberFormat="1" applyFont="1" applyAlignment="1">
      <alignment/>
    </xf>
    <xf numFmtId="6" fontId="53" fillId="0" borderId="0" xfId="57" applyNumberFormat="1" applyFont="1" applyAlignment="1">
      <alignment/>
    </xf>
    <xf numFmtId="9" fontId="53" fillId="0" borderId="0" xfId="0" applyNumberFormat="1" applyFont="1" applyAlignment="1">
      <alignment/>
    </xf>
    <xf numFmtId="8" fontId="53" fillId="0" borderId="0" xfId="0" applyNumberFormat="1" applyFont="1" applyBorder="1" applyAlignment="1">
      <alignment/>
    </xf>
    <xf numFmtId="10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70" fontId="26" fillId="0" borderId="0" xfId="44" applyNumberFormat="1" applyFont="1" applyAlignment="1">
      <alignment horizontal="center"/>
    </xf>
    <xf numFmtId="173" fontId="53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170" fontId="53" fillId="0" borderId="0" xfId="44" applyNumberFormat="1" applyFont="1" applyAlignment="1">
      <alignment/>
    </xf>
    <xf numFmtId="171" fontId="53" fillId="0" borderId="0" xfId="57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9" fontId="53" fillId="0" borderId="0" xfId="0" applyNumberFormat="1" applyFont="1" applyAlignment="1">
      <alignment horizontal="center"/>
    </xf>
    <xf numFmtId="170" fontId="53" fillId="0" borderId="0" xfId="44" applyNumberFormat="1" applyFont="1" applyAlignment="1">
      <alignment horizontal="center"/>
    </xf>
    <xf numFmtId="170" fontId="53" fillId="0" borderId="0" xfId="0" applyNumberFormat="1" applyFont="1" applyAlignment="1">
      <alignment horizontal="center"/>
    </xf>
    <xf numFmtId="10" fontId="53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170" fontId="31" fillId="0" borderId="0" xfId="44" applyNumberFormat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4" fontId="31" fillId="0" borderId="0" xfId="44" applyFont="1" applyAlignment="1">
      <alignment horizontal="center"/>
    </xf>
    <xf numFmtId="9" fontId="0" fillId="0" borderId="0" xfId="57" applyFont="1" applyAlignment="1">
      <alignment/>
    </xf>
    <xf numFmtId="2" fontId="0" fillId="0" borderId="0" xfId="0" applyNumberFormat="1" applyFont="1" applyAlignment="1">
      <alignment/>
    </xf>
    <xf numFmtId="6" fontId="0" fillId="0" borderId="0" xfId="57" applyNumberFormat="1" applyFont="1" applyAlignment="1">
      <alignment/>
    </xf>
    <xf numFmtId="171" fontId="0" fillId="0" borderId="0" xfId="57" applyNumberFormat="1" applyFont="1" applyAlignment="1">
      <alignment/>
    </xf>
    <xf numFmtId="0" fontId="31" fillId="0" borderId="0" xfId="0" applyFont="1" applyAlignment="1">
      <alignment horizontal="left"/>
    </xf>
    <xf numFmtId="173" fontId="0" fillId="0" borderId="0" xfId="0" applyNumberFormat="1" applyFont="1" applyAlignment="1">
      <alignment horizontal="center"/>
    </xf>
    <xf numFmtId="10" fontId="49" fillId="33" borderId="0" xfId="0" applyNumberFormat="1" applyFont="1" applyFill="1" applyBorder="1" applyAlignment="1">
      <alignment/>
    </xf>
    <xf numFmtId="172" fontId="51" fillId="33" borderId="0" xfId="0" applyNumberFormat="1" applyFont="1" applyFill="1" applyAlignment="1">
      <alignment/>
    </xf>
    <xf numFmtId="8" fontId="51" fillId="33" borderId="0" xfId="0" applyNumberFormat="1" applyFont="1" applyFill="1" applyAlignment="1">
      <alignment/>
    </xf>
    <xf numFmtId="170" fontId="0" fillId="33" borderId="0" xfId="44" applyNumberFormat="1" applyFont="1" applyFill="1" applyAlignment="1">
      <alignment/>
    </xf>
    <xf numFmtId="170" fontId="0" fillId="33" borderId="0" xfId="0" applyNumberFormat="1" applyFill="1" applyBorder="1" applyAlignment="1">
      <alignment/>
    </xf>
    <xf numFmtId="8" fontId="0" fillId="33" borderId="0" xfId="0" applyNumberFormat="1" applyFill="1" applyBorder="1" applyAlignment="1">
      <alignment/>
    </xf>
    <xf numFmtId="43" fontId="51" fillId="33" borderId="0" xfId="42" applyFont="1" applyFill="1" applyAlignment="1">
      <alignment/>
    </xf>
    <xf numFmtId="170" fontId="31" fillId="33" borderId="0" xfId="44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2" fontId="53" fillId="33" borderId="0" xfId="0" applyNumberFormat="1" applyFont="1" applyFill="1" applyAlignment="1">
      <alignment/>
    </xf>
    <xf numFmtId="10" fontId="53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20" zoomScaleNormal="120" zoomScalePageLayoutView="0" workbookViewId="0" topLeftCell="A1">
      <selection activeCell="B16" sqref="B16"/>
    </sheetView>
  </sheetViews>
  <sheetFormatPr defaultColWidth="9.140625" defaultRowHeight="15"/>
  <cols>
    <col min="1" max="16384" width="9.140625" style="3" customWidth="1"/>
  </cols>
  <sheetData>
    <row r="1" spans="1:5" ht="14.25">
      <c r="A1" s="1" t="s">
        <v>5</v>
      </c>
      <c r="B1" s="2"/>
      <c r="C1"/>
      <c r="D1"/>
      <c r="E1"/>
    </row>
    <row r="2" spans="1:5" ht="14.25">
      <c r="A2" s="1" t="s">
        <v>11</v>
      </c>
      <c r="B2" s="2"/>
      <c r="C2"/>
      <c r="D2"/>
      <c r="E2"/>
    </row>
    <row r="3" spans="1:5" ht="14.25">
      <c r="A3" t="s">
        <v>6</v>
      </c>
      <c r="B3" s="2"/>
      <c r="C3"/>
      <c r="D3"/>
      <c r="E3"/>
    </row>
    <row r="4" spans="1:5" ht="14.25">
      <c r="A4" s="2"/>
      <c r="B4" s="1"/>
      <c r="C4"/>
      <c r="D4"/>
      <c r="E4"/>
    </row>
    <row r="5" spans="1:5" ht="14.25">
      <c r="A5" s="1" t="s">
        <v>0</v>
      </c>
      <c r="B5" s="1"/>
      <c r="C5"/>
      <c r="D5"/>
      <c r="E5"/>
    </row>
    <row r="6" spans="3:13" ht="14.25">
      <c r="C6" s="4">
        <v>0</v>
      </c>
      <c r="D6" s="4">
        <v>1</v>
      </c>
      <c r="E6" s="4">
        <v>2</v>
      </c>
      <c r="F6" s="4">
        <v>3</v>
      </c>
      <c r="G6"/>
      <c r="H6"/>
      <c r="I6"/>
      <c r="J6"/>
      <c r="K6"/>
      <c r="L6"/>
      <c r="M6"/>
    </row>
    <row r="7" spans="2:13" ht="14.25">
      <c r="B7" s="5" t="s">
        <v>7</v>
      </c>
      <c r="D7" s="6">
        <v>1</v>
      </c>
      <c r="E7" s="6">
        <v>1.05</v>
      </c>
      <c r="F7" s="6">
        <v>1.1</v>
      </c>
      <c r="G7"/>
      <c r="H7" s="5"/>
      <c r="I7" s="5" t="s">
        <v>7</v>
      </c>
      <c r="J7" t="s">
        <v>1</v>
      </c>
      <c r="K7" t="s">
        <v>8</v>
      </c>
      <c r="L7"/>
      <c r="M7"/>
    </row>
    <row r="8" spans="2:13" ht="14.25">
      <c r="B8" s="5" t="s">
        <v>9</v>
      </c>
      <c r="C8" s="6"/>
      <c r="F8" s="6">
        <v>20</v>
      </c>
      <c r="G8"/>
      <c r="H8" s="5"/>
      <c r="I8" s="5" t="s">
        <v>9</v>
      </c>
      <c r="J8" t="s">
        <v>1</v>
      </c>
      <c r="K8" t="s">
        <v>10</v>
      </c>
      <c r="L8"/>
      <c r="M8"/>
    </row>
    <row r="9" spans="2:13" ht="14.25">
      <c r="B9" s="5" t="s">
        <v>2</v>
      </c>
      <c r="C9" s="7">
        <v>0.1</v>
      </c>
      <c r="F9"/>
      <c r="G9"/>
      <c r="H9" s="5"/>
      <c r="I9" s="5" t="s">
        <v>2</v>
      </c>
      <c r="J9" t="s">
        <v>1</v>
      </c>
      <c r="K9" t="s">
        <v>3</v>
      </c>
      <c r="L9"/>
      <c r="M9"/>
    </row>
    <row r="10" ht="14.25">
      <c r="E10" s="5"/>
    </row>
    <row r="12" spans="1:5" ht="14.25">
      <c r="A12" s="1" t="s">
        <v>12</v>
      </c>
      <c r="B12" s="2"/>
      <c r="C12" s="8"/>
      <c r="D12" s="2"/>
      <c r="E12" s="2"/>
    </row>
    <row r="13" spans="1:6" ht="14.25">
      <c r="A13" s="3" t="s">
        <v>13</v>
      </c>
      <c r="B13" s="2"/>
      <c r="C13" s="8"/>
      <c r="D13" s="9">
        <f>D7/(1+$C9)^D6</f>
        <v>0.9090909090909091</v>
      </c>
      <c r="E13" s="9">
        <f>E7/(1+$C9)^E6</f>
        <v>0.8677685950413222</v>
      </c>
      <c r="F13" s="9">
        <f>F7/(1+$C9)^F6</f>
        <v>0.8264462809917353</v>
      </c>
    </row>
    <row r="14" spans="1:6" ht="14.25">
      <c r="A14" s="3" t="s">
        <v>107</v>
      </c>
      <c r="B14" s="2"/>
      <c r="C14" s="8"/>
      <c r="D14" s="2"/>
      <c r="E14" s="2"/>
      <c r="F14" s="89"/>
    </row>
    <row r="16" spans="2:6" ht="14.25">
      <c r="B16" s="3" t="s">
        <v>15</v>
      </c>
      <c r="F16" s="90"/>
    </row>
    <row r="17" spans="2:6" ht="14.25">
      <c r="B17" s="3" t="s">
        <v>14</v>
      </c>
      <c r="F17" s="10">
        <f>F14</f>
        <v>0</v>
      </c>
    </row>
    <row r="18" ht="14.25">
      <c r="F18" s="10"/>
    </row>
    <row r="20" spans="2:6" ht="14.25">
      <c r="B20" s="11" t="s">
        <v>4</v>
      </c>
      <c r="F20" s="91">
        <f>SUM(F16:F17)</f>
        <v>0</v>
      </c>
    </row>
    <row r="21" spans="7:9" ht="14.25">
      <c r="G21" s="12"/>
      <c r="H21" s="12"/>
      <c r="I21" s="12"/>
    </row>
    <row r="22" spans="6:9" ht="14.25">
      <c r="F22" s="5"/>
      <c r="H22" s="6"/>
      <c r="I22" s="6"/>
    </row>
    <row r="23" spans="1:9" ht="14.25">
      <c r="A23" s="1"/>
      <c r="B23" s="2"/>
      <c r="C23" s="8"/>
      <c r="D23" s="2"/>
      <c r="E23" s="2"/>
      <c r="H23" s="6"/>
      <c r="I23" s="6"/>
    </row>
    <row r="24" spans="2:6" ht="14.25">
      <c r="B24" s="2"/>
      <c r="C24" s="8"/>
      <c r="D24" s="9"/>
      <c r="E24" s="9"/>
      <c r="F24" s="9"/>
    </row>
    <row r="25" spans="1:5" ht="14.25">
      <c r="A25" s="1"/>
      <c r="B25" s="2"/>
      <c r="C25" s="8"/>
      <c r="D25" s="2"/>
      <c r="E25" s="2"/>
    </row>
    <row r="27" spans="5:9" ht="14.25">
      <c r="E27" s="6"/>
      <c r="F27" s="6"/>
      <c r="H27" s="13"/>
      <c r="I27" s="13"/>
    </row>
    <row r="28" spans="8:9" ht="14.25">
      <c r="H28" s="12"/>
      <c r="I28" s="12"/>
    </row>
    <row r="29" spans="6:9" ht="14.25">
      <c r="F29" s="10"/>
      <c r="H29" s="14"/>
      <c r="I29" s="14"/>
    </row>
    <row r="30" spans="8:9" ht="14.25">
      <c r="H30" s="14"/>
      <c r="I30" s="14"/>
    </row>
    <row r="31" spans="2:9" ht="14.25">
      <c r="B31" s="11"/>
      <c r="F31" s="6"/>
      <c r="H31" s="14"/>
      <c r="I31" s="14"/>
    </row>
    <row r="32" spans="6:9" ht="14.25">
      <c r="F32" s="5"/>
      <c r="G32" s="14"/>
      <c r="H32" s="14"/>
      <c r="I32" s="14"/>
    </row>
    <row r="33" spans="7:9" ht="14.25">
      <c r="G33" s="14"/>
      <c r="H33" s="14"/>
      <c r="I33" s="14"/>
    </row>
    <row r="34" spans="6:9" ht="14.25">
      <c r="F34" s="5"/>
      <c r="G34" s="14"/>
      <c r="H34" s="14"/>
      <c r="I34" s="14"/>
    </row>
    <row r="35" spans="6:9" ht="14.25">
      <c r="F35" s="5"/>
      <c r="G35" s="14"/>
      <c r="H35" s="14"/>
      <c r="I35" s="14"/>
    </row>
    <row r="36" spans="6:9" ht="14.25">
      <c r="F36" s="5"/>
      <c r="G36" s="14"/>
      <c r="H36" s="14"/>
      <c r="I36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130" zoomScaleNormal="130" zoomScalePageLayoutView="0" workbookViewId="0" topLeftCell="A1">
      <selection activeCell="B27" sqref="B27"/>
    </sheetView>
  </sheetViews>
  <sheetFormatPr defaultColWidth="9.140625" defaultRowHeight="15"/>
  <cols>
    <col min="1" max="1" width="42.140625" style="3" customWidth="1"/>
    <col min="2" max="2" width="15.7109375" style="3" customWidth="1"/>
    <col min="3" max="16384" width="9.140625" style="3" customWidth="1"/>
  </cols>
  <sheetData>
    <row r="1" spans="1:5" ht="14.25">
      <c r="A1" s="1" t="s">
        <v>5</v>
      </c>
      <c r="B1" s="2"/>
      <c r="C1"/>
      <c r="D1"/>
      <c r="E1"/>
    </row>
    <row r="2" spans="1:5" ht="14.25">
      <c r="A2" s="1" t="s">
        <v>48</v>
      </c>
      <c r="B2" s="2"/>
      <c r="C2"/>
      <c r="D2"/>
      <c r="E2"/>
    </row>
    <row r="3" spans="1:5" ht="14.25">
      <c r="A3" t="s">
        <v>43</v>
      </c>
      <c r="B3" s="2"/>
      <c r="C3"/>
      <c r="D3"/>
      <c r="E3"/>
    </row>
    <row r="4" spans="1:5" ht="14.25">
      <c r="A4" s="2"/>
      <c r="B4" s="1"/>
      <c r="C4"/>
      <c r="D4"/>
      <c r="E4"/>
    </row>
    <row r="5" spans="1:5" ht="14.25">
      <c r="A5" s="1"/>
      <c r="B5" s="1"/>
      <c r="C5"/>
      <c r="D5"/>
      <c r="E5"/>
    </row>
    <row r="6" spans="1:13" ht="14.25">
      <c r="A6" s="18" t="s">
        <v>0</v>
      </c>
      <c r="B6" s="13"/>
      <c r="C6" s="12"/>
      <c r="D6" s="12"/>
      <c r="E6" s="12"/>
      <c r="F6" s="12"/>
      <c r="H6"/>
      <c r="I6"/>
      <c r="J6"/>
      <c r="K6"/>
      <c r="L6"/>
      <c r="M6"/>
    </row>
    <row r="7" spans="1:13" ht="14.25">
      <c r="A7" s="19" t="s">
        <v>16</v>
      </c>
      <c r="B7" s="20">
        <v>0.03</v>
      </c>
      <c r="D7" s="6"/>
      <c r="E7" s="6"/>
      <c r="F7" s="6"/>
      <c r="H7" s="5"/>
      <c r="I7" s="5"/>
      <c r="J7"/>
      <c r="K7"/>
      <c r="L7"/>
      <c r="M7"/>
    </row>
    <row r="8" spans="1:13" ht="14.25">
      <c r="A8" s="19" t="s">
        <v>17</v>
      </c>
      <c r="B8" s="20">
        <v>0.06</v>
      </c>
      <c r="C8" s="6"/>
      <c r="F8" s="6"/>
      <c r="H8" s="5"/>
      <c r="I8" s="5"/>
      <c r="J8"/>
      <c r="K8"/>
      <c r="L8"/>
      <c r="M8"/>
    </row>
    <row r="9" spans="1:13" ht="14.25">
      <c r="A9" s="19" t="s">
        <v>18</v>
      </c>
      <c r="B9" s="21">
        <v>1.2</v>
      </c>
      <c r="C9" s="7"/>
      <c r="H9" s="5"/>
      <c r="I9" s="5"/>
      <c r="J9"/>
      <c r="K9"/>
      <c r="L9"/>
      <c r="M9"/>
    </row>
    <row r="10" spans="1:5" ht="14.25">
      <c r="A10" s="19" t="s">
        <v>21</v>
      </c>
      <c r="B10" s="22">
        <v>2</v>
      </c>
      <c r="E10" s="5"/>
    </row>
    <row r="11" spans="1:2" ht="14.25">
      <c r="A11" s="19" t="s">
        <v>20</v>
      </c>
      <c r="B11" s="20">
        <v>0.05</v>
      </c>
    </row>
    <row r="12" spans="1:5" ht="14.25">
      <c r="A12" s="19" t="s">
        <v>23</v>
      </c>
      <c r="B12" s="23">
        <v>24</v>
      </c>
      <c r="C12" s="8"/>
      <c r="D12" s="2"/>
      <c r="E12" s="2"/>
    </row>
    <row r="13" spans="1:5" ht="14.25">
      <c r="A13" s="19"/>
      <c r="B13" s="23"/>
      <c r="C13" s="8"/>
      <c r="D13" s="2"/>
      <c r="E13" s="2"/>
    </row>
    <row r="14" spans="1:6" ht="14.25">
      <c r="A14" s="19"/>
      <c r="B14" s="24"/>
      <c r="C14" s="8"/>
      <c r="D14" s="9"/>
      <c r="E14" s="9"/>
      <c r="F14" s="9"/>
    </row>
    <row r="15" spans="1:6" ht="14.25">
      <c r="A15" s="18" t="s">
        <v>26</v>
      </c>
      <c r="B15" s="19"/>
      <c r="C15" s="8"/>
      <c r="D15" s="2"/>
      <c r="E15" s="2"/>
      <c r="F15" s="9"/>
    </row>
    <row r="16" spans="1:2" ht="14.25">
      <c r="A16" s="19" t="s">
        <v>19</v>
      </c>
      <c r="B16" s="86"/>
    </row>
    <row r="17" spans="1:6" ht="14.25">
      <c r="A17" s="19" t="s">
        <v>22</v>
      </c>
      <c r="B17" s="15">
        <f>B10*(1+B11)/(B16-B11)</f>
        <v>-42</v>
      </c>
      <c r="F17" s="10"/>
    </row>
    <row r="18" spans="1:6" ht="14.25">
      <c r="A18" s="25" t="s">
        <v>24</v>
      </c>
      <c r="B18" s="16" t="str">
        <f>IF(B17&gt;B12,"Undervalued","Overvalued")</f>
        <v>Overvalued</v>
      </c>
      <c r="F18" s="10"/>
    </row>
    <row r="19" spans="1:6" ht="14.25">
      <c r="A19" s="25"/>
      <c r="B19" s="16"/>
      <c r="F19" s="10"/>
    </row>
    <row r="20" spans="6:9" ht="14.25">
      <c r="F20" s="5"/>
      <c r="H20" s="6"/>
      <c r="I20" s="6"/>
    </row>
    <row r="21" spans="1:9" ht="14.25">
      <c r="A21" s="1" t="s">
        <v>30</v>
      </c>
      <c r="B21" s="2"/>
      <c r="C21" s="8"/>
      <c r="D21" s="2"/>
      <c r="E21" s="2"/>
      <c r="H21" s="6"/>
      <c r="I21" s="6"/>
    </row>
    <row r="22" spans="1:4" ht="14.25">
      <c r="A22" s="3" t="s">
        <v>29</v>
      </c>
      <c r="B22" s="27">
        <f>(B10-(B12*B16))/-(B12+B10)</f>
        <v>-0.07692307692307693</v>
      </c>
      <c r="C22" s="2"/>
      <c r="D22" s="2"/>
    </row>
    <row r="23" spans="2:4" ht="14.25">
      <c r="B23" s="27"/>
      <c r="C23" s="2"/>
      <c r="D23" s="2"/>
    </row>
    <row r="25" spans="1:9" ht="14.25">
      <c r="A25" s="1" t="s">
        <v>47</v>
      </c>
      <c r="B25" s="11"/>
      <c r="F25" s="6"/>
      <c r="H25" s="14"/>
      <c r="I25" s="14"/>
    </row>
    <row r="26" spans="1:9" ht="14.25">
      <c r="A26" s="3" t="s">
        <v>45</v>
      </c>
      <c r="B26" s="27">
        <f>(B10*(1+B11))/B12</f>
        <v>0.08750000000000001</v>
      </c>
      <c r="F26" s="5"/>
      <c r="G26" s="14"/>
      <c r="H26" s="14"/>
      <c r="I26" s="14"/>
    </row>
    <row r="27" spans="1:9" ht="14.25">
      <c r="A27" s="3" t="s">
        <v>44</v>
      </c>
      <c r="B27" s="7">
        <f>B11</f>
        <v>0.05</v>
      </c>
      <c r="G27" s="14"/>
      <c r="H27" s="14"/>
      <c r="I27" s="14"/>
    </row>
    <row r="28" spans="1:9" ht="14.25">
      <c r="A28" s="3" t="s">
        <v>46</v>
      </c>
      <c r="B28" s="7">
        <f>SUM(B26:B27)</f>
        <v>0.1375</v>
      </c>
      <c r="F28" s="5"/>
      <c r="G28" s="14"/>
      <c r="H28" s="14"/>
      <c r="I28" s="14"/>
    </row>
    <row r="29" spans="2:9" ht="14.25">
      <c r="B29" s="7"/>
      <c r="F29" s="5"/>
      <c r="G29" s="14"/>
      <c r="H29" s="14"/>
      <c r="I29" s="14"/>
    </row>
    <row r="30" spans="5:9" ht="14.25">
      <c r="E30" s="6"/>
      <c r="F30" s="6"/>
      <c r="H30" s="13"/>
      <c r="I30" s="13"/>
    </row>
    <row r="31" spans="1:6" ht="14.25">
      <c r="A31" s="18" t="s">
        <v>27</v>
      </c>
      <c r="B31" s="19"/>
      <c r="C31" s="8"/>
      <c r="D31" s="2"/>
      <c r="E31" s="2"/>
      <c r="F31" s="9"/>
    </row>
    <row r="32" spans="1:2" ht="14.25">
      <c r="A32" s="19" t="s">
        <v>25</v>
      </c>
      <c r="B32" s="15" t="e">
        <f>B10/(B16)</f>
        <v>#DIV/0!</v>
      </c>
    </row>
    <row r="33" spans="1:6" ht="28.5">
      <c r="A33" s="26" t="s">
        <v>28</v>
      </c>
      <c r="B33" s="17"/>
      <c r="F33" s="6"/>
    </row>
    <row r="34" spans="1:6" ht="14.25">
      <c r="A34" s="26"/>
      <c r="B34" s="17"/>
      <c r="F34" s="6"/>
    </row>
    <row r="35" spans="1:6" ht="14.25">
      <c r="A35" s="26"/>
      <c r="B35" s="17"/>
      <c r="F35" s="6"/>
    </row>
    <row r="36" spans="6:9" ht="14.25">
      <c r="F36" s="5"/>
      <c r="G36" s="14"/>
      <c r="H36" s="14"/>
      <c r="I36" s="14"/>
    </row>
    <row r="37" spans="6:9" ht="14.25">
      <c r="F37" s="5"/>
      <c r="G37" s="14"/>
      <c r="H37" s="14"/>
      <c r="I3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130" zoomScaleNormal="130" zoomScalePageLayoutView="0" workbookViewId="0" topLeftCell="A1">
      <selection activeCell="A18" sqref="A18"/>
    </sheetView>
  </sheetViews>
  <sheetFormatPr defaultColWidth="9.140625" defaultRowHeight="15"/>
  <cols>
    <col min="1" max="1" width="34.140625" style="3" customWidth="1"/>
    <col min="2" max="2" width="15.7109375" style="3" customWidth="1"/>
    <col min="3" max="16384" width="9.140625" style="3" customWidth="1"/>
  </cols>
  <sheetData>
    <row r="1" spans="1:5" ht="14.25">
      <c r="A1" s="1" t="s">
        <v>5</v>
      </c>
      <c r="B1" s="2"/>
      <c r="C1"/>
      <c r="D1"/>
      <c r="E1"/>
    </row>
    <row r="2" spans="1:5" ht="14.25">
      <c r="A2" s="1" t="s">
        <v>114</v>
      </c>
      <c r="B2" s="2"/>
      <c r="C2"/>
      <c r="D2"/>
      <c r="E2"/>
    </row>
    <row r="3" spans="1:5" ht="14.25">
      <c r="A3" s="2"/>
      <c r="B3" s="1"/>
      <c r="C3"/>
      <c r="D3"/>
      <c r="E3"/>
    </row>
    <row r="4" spans="1:5" ht="14.25">
      <c r="A4" s="1"/>
      <c r="B4" s="1"/>
      <c r="C4"/>
      <c r="D4"/>
      <c r="E4"/>
    </row>
    <row r="5" spans="1:13" ht="14.25">
      <c r="A5" s="18" t="s">
        <v>0</v>
      </c>
      <c r="B5" s="13"/>
      <c r="C5" s="12"/>
      <c r="D5" s="12"/>
      <c r="E5" s="12"/>
      <c r="F5" s="12"/>
      <c r="H5"/>
      <c r="I5"/>
      <c r="J5"/>
      <c r="K5"/>
      <c r="L5"/>
      <c r="M5"/>
    </row>
    <row r="6" spans="1:13" ht="15">
      <c r="A6" s="28" t="s">
        <v>31</v>
      </c>
      <c r="B6" s="29">
        <v>80</v>
      </c>
      <c r="D6" s="6"/>
      <c r="E6" s="6"/>
      <c r="F6" s="6"/>
      <c r="H6" s="5"/>
      <c r="I6" s="5"/>
      <c r="J6"/>
      <c r="K6"/>
      <c r="L6"/>
      <c r="M6"/>
    </row>
    <row r="7" spans="1:13" ht="15">
      <c r="A7" s="28" t="s">
        <v>32</v>
      </c>
      <c r="B7" s="29">
        <v>5</v>
      </c>
      <c r="C7" s="6"/>
      <c r="F7" s="6"/>
      <c r="H7" s="5"/>
      <c r="I7" s="5"/>
      <c r="J7"/>
      <c r="K7"/>
      <c r="L7"/>
      <c r="M7"/>
    </row>
    <row r="8" spans="1:13" ht="15">
      <c r="A8" s="28" t="s">
        <v>33</v>
      </c>
      <c r="B8" s="30">
        <v>0.1</v>
      </c>
      <c r="C8" s="7"/>
      <c r="H8" s="5"/>
      <c r="I8" s="5"/>
      <c r="J8"/>
      <c r="K8"/>
      <c r="L8"/>
      <c r="M8"/>
    </row>
    <row r="9" spans="1:5" ht="15">
      <c r="A9" s="28"/>
      <c r="B9" s="28"/>
      <c r="E9" s="5"/>
    </row>
    <row r="10" spans="1:9" ht="14.25">
      <c r="A10" s="1" t="s">
        <v>112</v>
      </c>
      <c r="B10" s="2"/>
      <c r="C10" s="8"/>
      <c r="D10" s="2"/>
      <c r="E10" s="2"/>
      <c r="H10" s="6"/>
      <c r="I10" s="6"/>
    </row>
    <row r="11" spans="1:2" ht="15">
      <c r="A11" s="28" t="s">
        <v>35</v>
      </c>
      <c r="B11" s="88"/>
    </row>
    <row r="12" spans="1:5" ht="15">
      <c r="A12" s="28"/>
      <c r="B12" s="31"/>
      <c r="C12" s="8"/>
      <c r="D12" s="2"/>
      <c r="E12" s="2"/>
    </row>
    <row r="13" spans="1:5" ht="15">
      <c r="A13" s="1" t="s">
        <v>113</v>
      </c>
      <c r="B13" s="29"/>
      <c r="C13" s="8"/>
      <c r="D13" s="2"/>
      <c r="E13" s="2"/>
    </row>
    <row r="14" spans="1:5" ht="15">
      <c r="A14" s="28" t="s">
        <v>34</v>
      </c>
      <c r="B14" s="87"/>
      <c r="C14" s="8"/>
      <c r="D14" s="2"/>
      <c r="E14" s="2"/>
    </row>
    <row r="15" spans="1:6" ht="14.25">
      <c r="A15" s="25"/>
      <c r="B15" s="16"/>
      <c r="F15" s="10"/>
    </row>
    <row r="16" spans="6:9" ht="14.25">
      <c r="F16" s="5"/>
      <c r="H16" s="6"/>
      <c r="I16" s="6"/>
    </row>
    <row r="17" spans="2:9" ht="14.25">
      <c r="B17" s="11"/>
      <c r="F17" s="6"/>
      <c r="H17" s="14"/>
      <c r="I17" s="14"/>
    </row>
    <row r="18" spans="6:9" ht="14.25">
      <c r="F18" s="5"/>
      <c r="G18" s="14"/>
      <c r="H18" s="14"/>
      <c r="I18" s="14"/>
    </row>
    <row r="19" spans="7:9" ht="14.25">
      <c r="G19" s="14"/>
      <c r="H19" s="14"/>
      <c r="I19" s="14"/>
    </row>
    <row r="20" spans="6:9" ht="14.25">
      <c r="F20" s="5"/>
      <c r="G20" s="14"/>
      <c r="H20" s="14"/>
      <c r="I20" s="14"/>
    </row>
    <row r="21" spans="6:9" ht="14.25">
      <c r="F21" s="5"/>
      <c r="G21" s="14"/>
      <c r="H21" s="14"/>
      <c r="I21" s="14"/>
    </row>
    <row r="22" spans="6:9" ht="14.25">
      <c r="F22" s="5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130" zoomScaleNormal="130" zoomScalePageLayoutView="0" workbookViewId="0" topLeftCell="A1">
      <selection activeCell="C23" sqref="C23"/>
    </sheetView>
  </sheetViews>
  <sheetFormatPr defaultColWidth="9.140625" defaultRowHeight="15"/>
  <cols>
    <col min="1" max="1" width="28.28125" style="3" customWidth="1"/>
    <col min="2" max="2" width="12.421875" style="3" customWidth="1"/>
    <col min="3" max="6" width="9.140625" style="3" customWidth="1"/>
    <col min="7" max="7" width="13.28125" style="3" customWidth="1"/>
    <col min="8" max="16384" width="9.140625" style="3" customWidth="1"/>
  </cols>
  <sheetData>
    <row r="1" spans="1:5" ht="14.25">
      <c r="A1" s="1" t="s">
        <v>5</v>
      </c>
      <c r="B1" s="2"/>
      <c r="C1"/>
      <c r="D1"/>
      <c r="E1"/>
    </row>
    <row r="2" spans="1:5" ht="14.25">
      <c r="A2" s="1" t="s">
        <v>36</v>
      </c>
      <c r="B2" s="2"/>
      <c r="C2"/>
      <c r="D2"/>
      <c r="E2"/>
    </row>
    <row r="3" spans="1:5" ht="14.25">
      <c r="A3" t="s">
        <v>49</v>
      </c>
      <c r="B3" s="2"/>
      <c r="C3"/>
      <c r="D3"/>
      <c r="E3"/>
    </row>
    <row r="4" spans="1:5" ht="14.25">
      <c r="A4" s="2"/>
      <c r="B4" s="1"/>
      <c r="C4"/>
      <c r="D4"/>
      <c r="E4"/>
    </row>
    <row r="5" spans="1:5" ht="14.25">
      <c r="A5" s="1"/>
      <c r="B5" s="1"/>
      <c r="C5"/>
      <c r="D5"/>
      <c r="E5"/>
    </row>
    <row r="6" spans="1:13" ht="14.25">
      <c r="A6" s="18" t="s">
        <v>0</v>
      </c>
      <c r="B6" s="13"/>
      <c r="C6" s="12"/>
      <c r="D6" s="12"/>
      <c r="E6" s="12"/>
      <c r="F6" s="12"/>
      <c r="H6"/>
      <c r="I6"/>
      <c r="J6"/>
      <c r="K6"/>
      <c r="L6"/>
      <c r="M6"/>
    </row>
    <row r="7" spans="1:13" ht="15">
      <c r="A7" s="28" t="s">
        <v>31</v>
      </c>
      <c r="B7" s="37">
        <v>50</v>
      </c>
      <c r="D7" s="6"/>
      <c r="E7" s="6"/>
      <c r="F7" s="6"/>
      <c r="H7" s="5"/>
      <c r="I7" s="5"/>
      <c r="J7"/>
      <c r="K7"/>
      <c r="L7"/>
      <c r="M7"/>
    </row>
    <row r="8" spans="1:13" ht="15">
      <c r="A8" s="28" t="s">
        <v>37</v>
      </c>
      <c r="B8" s="37">
        <v>4</v>
      </c>
      <c r="C8" s="6"/>
      <c r="F8" s="6"/>
      <c r="H8" s="5"/>
      <c r="I8" s="5"/>
      <c r="J8"/>
      <c r="K8"/>
      <c r="L8"/>
      <c r="M8"/>
    </row>
    <row r="9" spans="1:13" ht="15">
      <c r="A9" s="28" t="s">
        <v>38</v>
      </c>
      <c r="B9" s="38">
        <v>1.6</v>
      </c>
      <c r="C9" s="7"/>
      <c r="H9" s="5"/>
      <c r="I9" s="5"/>
      <c r="J9"/>
      <c r="K9"/>
      <c r="L9"/>
      <c r="M9"/>
    </row>
    <row r="10" spans="1:13" ht="15">
      <c r="A10" s="28" t="s">
        <v>20</v>
      </c>
      <c r="B10" s="39">
        <v>0.05</v>
      </c>
      <c r="C10" s="7"/>
      <c r="H10" s="5"/>
      <c r="I10" s="5"/>
      <c r="J10"/>
      <c r="K10"/>
      <c r="L10"/>
      <c r="M10"/>
    </row>
    <row r="11" spans="1:13" ht="15">
      <c r="A11" s="28" t="s">
        <v>33</v>
      </c>
      <c r="B11" s="39">
        <v>0.09</v>
      </c>
      <c r="C11" s="7"/>
      <c r="H11" s="5"/>
      <c r="I11" s="5"/>
      <c r="J11"/>
      <c r="K11"/>
      <c r="L11"/>
      <c r="M11"/>
    </row>
    <row r="12" spans="1:13" ht="15">
      <c r="A12" s="28"/>
      <c r="B12" s="30"/>
      <c r="C12" s="7"/>
      <c r="H12" s="5"/>
      <c r="I12" s="5"/>
      <c r="J12"/>
      <c r="K12"/>
      <c r="L12"/>
      <c r="M12"/>
    </row>
    <row r="13" spans="1:5" ht="15">
      <c r="A13" s="28"/>
      <c r="B13" s="28"/>
      <c r="E13" s="5"/>
    </row>
    <row r="14" spans="1:9" ht="14.25">
      <c r="A14" s="1" t="s">
        <v>39</v>
      </c>
      <c r="B14" s="2"/>
      <c r="C14" s="8"/>
      <c r="D14" s="2"/>
      <c r="E14" s="2"/>
      <c r="H14" s="6"/>
      <c r="I14" s="6"/>
    </row>
    <row r="15" spans="1:2" ht="15">
      <c r="A15" s="28" t="s">
        <v>41</v>
      </c>
      <c r="B15" s="92"/>
    </row>
    <row r="16" spans="1:5" ht="15">
      <c r="A16" s="28" t="s">
        <v>50</v>
      </c>
      <c r="B16" s="35">
        <f>B15/(B11-B10)</f>
        <v>0</v>
      </c>
      <c r="C16" s="8"/>
      <c r="D16" s="2"/>
      <c r="E16" s="2"/>
    </row>
    <row r="17" spans="1:5" ht="15">
      <c r="A17" s="28"/>
      <c r="B17" s="35"/>
      <c r="C17" s="8"/>
      <c r="D17" s="2"/>
      <c r="E17" s="2"/>
    </row>
    <row r="18" spans="1:5" ht="15">
      <c r="A18" s="28"/>
      <c r="B18" s="31"/>
      <c r="C18" s="8"/>
      <c r="D18" s="2"/>
      <c r="E18" s="2"/>
    </row>
    <row r="19" spans="1:5" ht="15">
      <c r="A19" s="1" t="s">
        <v>40</v>
      </c>
      <c r="B19" s="29"/>
      <c r="C19" s="8"/>
      <c r="D19" s="2"/>
      <c r="E19" s="2"/>
    </row>
    <row r="20" spans="1:5" ht="15">
      <c r="A20" s="28" t="s">
        <v>51</v>
      </c>
      <c r="B20" s="32">
        <f>(B15*(1+B10))/(B11-B10)</f>
        <v>0</v>
      </c>
      <c r="C20" s="8"/>
      <c r="D20" s="2"/>
      <c r="E20" s="2"/>
    </row>
    <row r="21" spans="1:6" ht="15">
      <c r="A21" s="28" t="s">
        <v>42</v>
      </c>
      <c r="B21" s="32">
        <f>B7/B8</f>
        <v>12.5</v>
      </c>
      <c r="F21" s="10"/>
    </row>
    <row r="22" spans="1:9" ht="15">
      <c r="A22" s="28"/>
      <c r="B22" s="36" t="str">
        <f>IF(B21&gt;B20,"Overvalued","Undervalued")</f>
        <v>Overvalued</v>
      </c>
      <c r="F22" s="5"/>
      <c r="H22" s="6"/>
      <c r="I22" s="6"/>
    </row>
    <row r="23" spans="2:9" ht="14.25">
      <c r="B23" s="11"/>
      <c r="F23" s="6"/>
      <c r="H23" s="14"/>
      <c r="I23" s="14"/>
    </row>
    <row r="24" spans="6:9" ht="14.25">
      <c r="F24" s="5"/>
      <c r="G24" s="14"/>
      <c r="H24" s="14"/>
      <c r="I24" s="14"/>
    </row>
    <row r="25" spans="7:9" ht="14.25">
      <c r="G25" s="14"/>
      <c r="H25" s="14"/>
      <c r="I25" s="14"/>
    </row>
    <row r="26" spans="6:9" ht="15">
      <c r="F26" s="5"/>
      <c r="G26" s="28"/>
      <c r="H26" s="33"/>
      <c r="I26" s="14"/>
    </row>
    <row r="27" spans="6:9" ht="15">
      <c r="F27" s="5"/>
      <c r="G27" s="28"/>
      <c r="H27" s="33"/>
      <c r="I27" s="14"/>
    </row>
    <row r="28" spans="6:9" ht="15">
      <c r="F28" s="5"/>
      <c r="G28" s="28"/>
      <c r="H28" s="28"/>
      <c r="I28" s="14"/>
    </row>
    <row r="29" spans="7:8" ht="15">
      <c r="G29" s="28"/>
      <c r="H29" s="34"/>
    </row>
    <row r="30" spans="7:8" ht="15">
      <c r="G30" s="28"/>
      <c r="H30" s="3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30" zoomScaleNormal="130" zoomScalePageLayoutView="0" workbookViewId="0" topLeftCell="A13">
      <selection activeCell="E31" sqref="E31"/>
    </sheetView>
  </sheetViews>
  <sheetFormatPr defaultColWidth="9.140625" defaultRowHeight="15"/>
  <cols>
    <col min="1" max="1" width="13.421875" style="13" customWidth="1"/>
    <col min="2" max="2" width="10.421875" style="13" customWidth="1"/>
    <col min="3" max="5" width="9.140625" style="13" customWidth="1"/>
    <col min="6" max="6" width="11.140625" style="13" customWidth="1"/>
    <col min="7" max="16384" width="9.140625" style="13" customWidth="1"/>
  </cols>
  <sheetData>
    <row r="1" spans="1:4" ht="14.25">
      <c r="A1" s="1" t="s">
        <v>5</v>
      </c>
      <c r="B1" s="2"/>
      <c r="C1" s="2"/>
      <c r="D1" s="2"/>
    </row>
    <row r="2" spans="1:4" ht="14.25">
      <c r="A2" s="1" t="s">
        <v>52</v>
      </c>
      <c r="B2" s="2"/>
      <c r="C2" s="2"/>
      <c r="D2" s="2"/>
    </row>
    <row r="3" spans="1:4" ht="14.25">
      <c r="A3" s="2"/>
      <c r="B3" s="2"/>
      <c r="C3" s="2"/>
      <c r="D3" s="2"/>
    </row>
    <row r="4" spans="1:4" ht="14.25">
      <c r="A4" s="2"/>
      <c r="B4" s="1"/>
      <c r="C4" s="2"/>
      <c r="D4" s="2"/>
    </row>
    <row r="5" spans="1:4" ht="14.25">
      <c r="A5" s="1"/>
      <c r="B5" s="1"/>
      <c r="C5" s="2"/>
      <c r="D5" s="2"/>
    </row>
    <row r="6" spans="1:12" ht="14.25">
      <c r="A6" s="18" t="s">
        <v>71</v>
      </c>
      <c r="C6" s="73"/>
      <c r="D6" s="73"/>
      <c r="E6" s="73"/>
      <c r="G6" s="2"/>
      <c r="H6" s="2"/>
      <c r="I6" s="2"/>
      <c r="J6" s="2"/>
      <c r="K6" s="2"/>
      <c r="L6" s="2"/>
    </row>
    <row r="7" spans="1:7" s="75" customFormat="1" ht="14.25">
      <c r="A7" s="74" t="s">
        <v>53</v>
      </c>
      <c r="B7" s="74" t="s">
        <v>59</v>
      </c>
      <c r="C7" s="74" t="s">
        <v>2</v>
      </c>
      <c r="D7" s="74" t="s">
        <v>60</v>
      </c>
      <c r="G7" s="74"/>
    </row>
    <row r="8" spans="1:4" s="75" customFormat="1" ht="14.25">
      <c r="A8" s="76">
        <v>2</v>
      </c>
      <c r="B8" s="77">
        <v>0.15</v>
      </c>
      <c r="C8" s="77">
        <v>0.1</v>
      </c>
      <c r="D8" s="77">
        <v>0.04</v>
      </c>
    </row>
    <row r="9" spans="1:12" ht="14.25">
      <c r="A9" s="2"/>
      <c r="B9" s="8"/>
      <c r="C9" s="69"/>
      <c r="G9" s="16"/>
      <c r="H9" s="16"/>
      <c r="I9" s="2"/>
      <c r="J9" s="2"/>
      <c r="K9" s="2"/>
      <c r="L9" s="2"/>
    </row>
    <row r="10" spans="1:2" ht="14.25">
      <c r="A10" s="2"/>
      <c r="B10" s="2"/>
    </row>
    <row r="11" spans="1:8" ht="14.25">
      <c r="A11" s="1" t="s">
        <v>67</v>
      </c>
      <c r="B11" s="2"/>
      <c r="C11" s="8"/>
      <c r="D11" s="2"/>
      <c r="G11" s="70"/>
      <c r="H11" s="70"/>
    </row>
    <row r="12" spans="1:8" ht="14.25">
      <c r="A12" s="62" t="s">
        <v>64</v>
      </c>
      <c r="B12" s="74">
        <v>1</v>
      </c>
      <c r="C12" s="74">
        <v>2</v>
      </c>
      <c r="D12" s="74">
        <v>3</v>
      </c>
      <c r="E12" s="74"/>
      <c r="F12" s="74">
        <v>3</v>
      </c>
      <c r="G12" s="70"/>
      <c r="H12" s="70"/>
    </row>
    <row r="13" spans="2:8" ht="14.25">
      <c r="B13" s="74" t="s">
        <v>54</v>
      </c>
      <c r="C13" s="74" t="s">
        <v>55</v>
      </c>
      <c r="D13" s="74" t="s">
        <v>56</v>
      </c>
      <c r="E13" s="74" t="s">
        <v>57</v>
      </c>
      <c r="F13" s="74" t="s">
        <v>58</v>
      </c>
      <c r="G13" s="70"/>
      <c r="H13" s="70"/>
    </row>
    <row r="14" spans="1:8" ht="14.25">
      <c r="A14" s="2"/>
      <c r="B14" s="76">
        <f>A8*(1+$B8)</f>
        <v>2.3</v>
      </c>
      <c r="C14" s="76">
        <f>B14*(1+$B8)</f>
        <v>2.6449999999999996</v>
      </c>
      <c r="D14" s="76">
        <f>C14*(1+$B8)</f>
        <v>3.041749999999999</v>
      </c>
      <c r="E14" s="76">
        <f>D14*(1+D8)</f>
        <v>3.163419999999999</v>
      </c>
      <c r="F14" s="76">
        <f>E14/(C8-D8)</f>
        <v>52.723666666666645</v>
      </c>
      <c r="G14" s="70"/>
      <c r="H14" s="70"/>
    </row>
    <row r="15" spans="1:8" ht="14.25">
      <c r="A15" s="1"/>
      <c r="B15" s="76"/>
      <c r="C15" s="76"/>
      <c r="D15" s="76"/>
      <c r="E15" s="76"/>
      <c r="F15" s="76"/>
      <c r="G15" s="70"/>
      <c r="H15" s="70"/>
    </row>
    <row r="16" spans="1:6" s="75" customFormat="1" ht="14.25">
      <c r="A16" s="78"/>
      <c r="B16" s="78" t="s">
        <v>61</v>
      </c>
      <c r="C16" s="78" t="s">
        <v>62</v>
      </c>
      <c r="D16" s="78" t="s">
        <v>63</v>
      </c>
      <c r="E16" s="78"/>
      <c r="F16" s="78" t="s">
        <v>66</v>
      </c>
    </row>
    <row r="17" spans="1:6" s="75" customFormat="1" ht="14.25">
      <c r="A17" s="78"/>
      <c r="B17" s="76">
        <f>B14/(1+$C8)^B12</f>
        <v>2.0909090909090904</v>
      </c>
      <c r="C17" s="76">
        <f>C14/(1+$C8)^C12</f>
        <v>2.1859504132231398</v>
      </c>
      <c r="D17" s="76">
        <f>D14/(1+$C8)^D12</f>
        <v>2.285311795642373</v>
      </c>
      <c r="E17" s="76"/>
      <c r="F17" s="76">
        <f>F14/(1+$C8)^F12</f>
        <v>39.61207112446779</v>
      </c>
    </row>
    <row r="18" spans="1:6" s="75" customFormat="1" ht="14.25">
      <c r="A18" s="78"/>
      <c r="B18" s="79"/>
      <c r="C18" s="79"/>
      <c r="D18" s="79"/>
      <c r="E18" s="79"/>
      <c r="F18" s="79"/>
    </row>
    <row r="19" spans="1:6" s="75" customFormat="1" ht="14.25">
      <c r="A19" s="78" t="s">
        <v>65</v>
      </c>
      <c r="B19" s="93"/>
      <c r="C19" s="79"/>
      <c r="D19" s="79"/>
      <c r="E19" s="79"/>
      <c r="F19" s="79"/>
    </row>
    <row r="20" spans="5:8" ht="14.25">
      <c r="E20" s="16"/>
      <c r="F20" s="71"/>
      <c r="G20" s="71"/>
      <c r="H20" s="71"/>
    </row>
    <row r="21" spans="6:8" ht="14.25">
      <c r="F21" s="71"/>
      <c r="G21" s="71"/>
      <c r="H21" s="71"/>
    </row>
    <row r="22" spans="1:12" ht="14.25">
      <c r="A22" s="18" t="s">
        <v>75</v>
      </c>
      <c r="C22" s="73"/>
      <c r="D22" s="73"/>
      <c r="E22" s="73"/>
      <c r="G22" s="2"/>
      <c r="H22" s="2"/>
      <c r="I22" s="2"/>
      <c r="J22" s="2"/>
      <c r="K22" s="2"/>
      <c r="L22" s="2"/>
    </row>
    <row r="23" spans="1:9" ht="14.25">
      <c r="A23" s="2" t="s">
        <v>70</v>
      </c>
      <c r="B23" s="2"/>
      <c r="C23" s="8"/>
      <c r="F23" s="8">
        <v>0.6</v>
      </c>
      <c r="H23" s="70"/>
      <c r="I23" s="70"/>
    </row>
    <row r="24" spans="1:9" ht="14.25">
      <c r="A24" s="2" t="s">
        <v>69</v>
      </c>
      <c r="B24" s="2"/>
      <c r="C24" s="8"/>
      <c r="D24" s="2"/>
      <c r="E24" s="2"/>
      <c r="F24" s="72">
        <v>13</v>
      </c>
      <c r="H24" s="70"/>
      <c r="I24" s="70"/>
    </row>
    <row r="25" spans="1:9" ht="14.25">
      <c r="A25" s="1"/>
      <c r="B25" s="2"/>
      <c r="C25" s="8"/>
      <c r="D25" s="2"/>
      <c r="E25" s="2"/>
      <c r="H25" s="70"/>
      <c r="I25" s="70"/>
    </row>
    <row r="26" spans="1:9" ht="14.25">
      <c r="A26" s="1" t="s">
        <v>68</v>
      </c>
      <c r="B26" s="2"/>
      <c r="C26" s="8"/>
      <c r="D26" s="2"/>
      <c r="E26" s="2"/>
      <c r="H26" s="70"/>
      <c r="I26" s="70"/>
    </row>
    <row r="27" spans="1:9" ht="14.25">
      <c r="A27" s="2" t="s">
        <v>72</v>
      </c>
      <c r="B27" s="2"/>
      <c r="C27" s="8"/>
      <c r="D27" s="2"/>
      <c r="E27" s="2"/>
      <c r="F27" s="15">
        <f>E14/F23</f>
        <v>5.272366666666665</v>
      </c>
      <c r="H27" s="70"/>
      <c r="I27" s="70"/>
    </row>
    <row r="28" spans="1:9" ht="14.25">
      <c r="A28" s="2" t="s">
        <v>73</v>
      </c>
      <c r="B28" s="2"/>
      <c r="C28" s="8"/>
      <c r="D28" s="2"/>
      <c r="E28" s="2"/>
      <c r="F28" s="15">
        <f>F24*F27</f>
        <v>68.54076666666664</v>
      </c>
      <c r="H28" s="70"/>
      <c r="I28" s="70"/>
    </row>
    <row r="29" spans="1:9" ht="14.25">
      <c r="A29" s="2" t="s">
        <v>74</v>
      </c>
      <c r="B29" s="2"/>
      <c r="C29" s="8"/>
      <c r="D29" s="2"/>
      <c r="E29" s="2"/>
      <c r="F29" s="15">
        <f>(E14+F28)/(1+C8)^(F12+1)</f>
        <v>48.974924299342</v>
      </c>
      <c r="H29" s="70"/>
      <c r="I29" s="70"/>
    </row>
    <row r="30" spans="1:11" ht="14.25">
      <c r="A30" s="78"/>
      <c r="B30" s="79"/>
      <c r="C30" s="79"/>
      <c r="D30" s="79"/>
      <c r="E30" s="79"/>
      <c r="F30" s="79"/>
      <c r="G30" s="75"/>
      <c r="H30" s="75"/>
      <c r="I30" s="75"/>
      <c r="J30" s="75"/>
      <c r="K30" s="75"/>
    </row>
    <row r="31" spans="1:11" ht="14.25">
      <c r="A31" s="78" t="s">
        <v>65</v>
      </c>
      <c r="B31" s="93"/>
      <c r="C31" s="79"/>
      <c r="D31" s="79"/>
      <c r="E31" s="79"/>
      <c r="F31" s="79"/>
      <c r="G31" s="75"/>
      <c r="H31" s="75"/>
      <c r="I31" s="75"/>
      <c r="J31" s="75"/>
      <c r="K31" s="7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zoomScalePageLayoutView="0" workbookViewId="0" topLeftCell="A7">
      <selection activeCell="B25" sqref="B25"/>
    </sheetView>
  </sheetViews>
  <sheetFormatPr defaultColWidth="9.140625" defaultRowHeight="15"/>
  <cols>
    <col min="1" max="1" width="29.421875" style="13" customWidth="1"/>
    <col min="2" max="2" width="10.421875" style="13" customWidth="1"/>
    <col min="3" max="5" width="9.140625" style="13" customWidth="1"/>
    <col min="6" max="6" width="11.140625" style="13" customWidth="1"/>
    <col min="7" max="16384" width="9.140625" style="13" customWidth="1"/>
  </cols>
  <sheetData>
    <row r="1" spans="1:4" ht="14.25">
      <c r="A1" s="1" t="s">
        <v>5</v>
      </c>
      <c r="B1" s="2"/>
      <c r="C1" s="2"/>
      <c r="D1" s="2"/>
    </row>
    <row r="2" spans="1:4" ht="14.25">
      <c r="A2" s="1" t="s">
        <v>80</v>
      </c>
      <c r="B2" s="2"/>
      <c r="C2" s="2"/>
      <c r="D2" s="2"/>
    </row>
    <row r="3" spans="1:4" ht="14.25">
      <c r="A3" s="2" t="s">
        <v>108</v>
      </c>
      <c r="B3" s="2"/>
      <c r="C3" s="2"/>
      <c r="D3" s="2"/>
    </row>
    <row r="4" spans="1:4" ht="14.25">
      <c r="A4" s="2"/>
      <c r="B4" s="1"/>
      <c r="C4" s="2"/>
      <c r="D4" s="2"/>
    </row>
    <row r="5" spans="1:4" ht="14.25">
      <c r="A5" s="1"/>
      <c r="B5" s="1"/>
      <c r="C5" s="2"/>
      <c r="D5" s="2"/>
    </row>
    <row r="6" spans="1:12" ht="14.25">
      <c r="A6" s="18" t="s">
        <v>82</v>
      </c>
      <c r="C6" s="73"/>
      <c r="D6" s="73"/>
      <c r="E6" s="73"/>
      <c r="G6" s="2"/>
      <c r="H6" s="2"/>
      <c r="I6" s="2"/>
      <c r="J6" s="2"/>
      <c r="K6" s="2"/>
      <c r="L6" s="2"/>
    </row>
    <row r="7" spans="1:12" ht="14.25">
      <c r="A7" s="19" t="s">
        <v>21</v>
      </c>
      <c r="B7" s="9">
        <v>3</v>
      </c>
      <c r="C7" s="73"/>
      <c r="D7" s="73"/>
      <c r="E7" s="73"/>
      <c r="G7" s="2"/>
      <c r="H7" s="2"/>
      <c r="I7" s="2"/>
      <c r="J7" s="2"/>
      <c r="K7" s="2"/>
      <c r="L7" s="2"/>
    </row>
    <row r="8" spans="1:12" ht="15">
      <c r="A8" s="2" t="s">
        <v>110</v>
      </c>
      <c r="B8" s="80">
        <v>0.2</v>
      </c>
      <c r="C8" s="73"/>
      <c r="D8" s="73"/>
      <c r="E8" s="73"/>
      <c r="G8" s="19"/>
      <c r="H8" s="2"/>
      <c r="I8" s="2"/>
      <c r="J8" s="2"/>
      <c r="K8" s="2"/>
      <c r="L8" s="2"/>
    </row>
    <row r="9" spans="1:12" ht="15">
      <c r="A9" s="2" t="s">
        <v>111</v>
      </c>
      <c r="B9" s="80">
        <v>0.06</v>
      </c>
      <c r="C9" s="73"/>
      <c r="D9" s="73"/>
      <c r="E9" s="73"/>
      <c r="G9" s="19"/>
      <c r="H9" s="2"/>
      <c r="I9" s="2"/>
      <c r="J9" s="2"/>
      <c r="K9" s="2"/>
      <c r="L9" s="2"/>
    </row>
    <row r="10" spans="1:12" ht="14.25">
      <c r="A10" s="2" t="s">
        <v>76</v>
      </c>
      <c r="B10" s="2">
        <v>5</v>
      </c>
      <c r="C10" s="73"/>
      <c r="D10" s="73"/>
      <c r="E10" s="73"/>
      <c r="G10" s="19"/>
      <c r="H10" s="2"/>
      <c r="I10" s="2"/>
      <c r="J10" s="2"/>
      <c r="K10" s="2"/>
      <c r="L10" s="2"/>
    </row>
    <row r="11" spans="1:9" s="75" customFormat="1" ht="14.25">
      <c r="A11" s="2" t="s">
        <v>33</v>
      </c>
      <c r="B11" s="80">
        <v>0.1</v>
      </c>
      <c r="C11" s="2"/>
      <c r="D11" s="2"/>
      <c r="E11" s="2"/>
      <c r="F11" s="2"/>
      <c r="G11" s="2"/>
      <c r="H11" s="2"/>
      <c r="I11" s="81"/>
    </row>
    <row r="12" spans="1:9" s="75" customFormat="1" ht="14.25">
      <c r="A12" s="19" t="s">
        <v>23</v>
      </c>
      <c r="B12" s="82">
        <v>120</v>
      </c>
      <c r="C12" s="2"/>
      <c r="D12" s="2"/>
      <c r="E12" s="2"/>
      <c r="F12" s="2"/>
      <c r="G12" s="2"/>
      <c r="H12" s="2"/>
      <c r="I12" s="81"/>
    </row>
    <row r="13" spans="1:9" s="75" customFormat="1" ht="14.25">
      <c r="A13" s="19"/>
      <c r="B13" s="80"/>
      <c r="C13" s="2"/>
      <c r="D13" s="2"/>
      <c r="E13" s="2"/>
      <c r="F13" s="2"/>
      <c r="G13" s="2"/>
      <c r="H13" s="2"/>
      <c r="I13" s="81"/>
    </row>
    <row r="14" spans="1:9" s="75" customFormat="1" ht="14.25">
      <c r="A14" s="19"/>
      <c r="B14" s="80"/>
      <c r="C14" s="2"/>
      <c r="D14" s="2"/>
      <c r="E14" s="2"/>
      <c r="F14" s="2"/>
      <c r="G14" s="2"/>
      <c r="H14" s="2"/>
      <c r="I14" s="81"/>
    </row>
    <row r="15" spans="1:8" ht="14.25">
      <c r="A15" s="1" t="s">
        <v>77</v>
      </c>
      <c r="B15" s="2"/>
      <c r="C15" s="8"/>
      <c r="D15" s="2"/>
      <c r="G15" s="70"/>
      <c r="H15" s="70"/>
    </row>
    <row r="16" spans="1:8" ht="14.25">
      <c r="A16" s="2" t="s">
        <v>81</v>
      </c>
      <c r="B16" s="81">
        <f>(B7*(1+B9))/(B11-B9)</f>
        <v>79.49999999999999</v>
      </c>
      <c r="C16" s="8"/>
      <c r="D16" s="83" t="e">
        <f>B16/B18</f>
        <v>#DIV/0!</v>
      </c>
      <c r="E16" s="13" t="s">
        <v>83</v>
      </c>
      <c r="G16" s="70"/>
      <c r="H16" s="70"/>
    </row>
    <row r="17" spans="1:8" ht="14.25">
      <c r="A17" s="2" t="s">
        <v>90</v>
      </c>
      <c r="B17" s="81">
        <f>(B7*B10*(B8-B9))/(B11-B9)</f>
        <v>52.49999999999999</v>
      </c>
      <c r="C17" s="8"/>
      <c r="D17" s="83" t="e">
        <f>B17/B18</f>
        <v>#DIV/0!</v>
      </c>
      <c r="E17" s="13" t="s">
        <v>83</v>
      </c>
      <c r="G17" s="70"/>
      <c r="H17" s="70"/>
    </row>
    <row r="18" spans="1:12" ht="14.25">
      <c r="A18" s="84" t="s">
        <v>65</v>
      </c>
      <c r="B18" s="94"/>
      <c r="C18" s="74"/>
      <c r="D18" s="74"/>
      <c r="E18" s="75"/>
      <c r="F18" s="75"/>
      <c r="G18" s="74"/>
      <c r="H18" s="75"/>
      <c r="I18" s="75"/>
      <c r="J18" s="2"/>
      <c r="K18" s="2"/>
      <c r="L18" s="2"/>
    </row>
    <row r="19" spans="1:9" ht="14.25">
      <c r="A19" s="76"/>
      <c r="B19" s="85" t="str">
        <f>IF(B18&lt;B12,"Overvalued","Undervalued")</f>
        <v>Overvalued</v>
      </c>
      <c r="C19" s="77"/>
      <c r="D19" s="77"/>
      <c r="E19" s="75"/>
      <c r="F19" s="75"/>
      <c r="G19" s="75"/>
      <c r="H19" s="75"/>
      <c r="I19" s="75"/>
    </row>
    <row r="20" spans="1:9" ht="14.25">
      <c r="A20" s="2"/>
      <c r="B20" s="8"/>
      <c r="C20" s="69"/>
      <c r="G20" s="16"/>
      <c r="H20" s="16"/>
      <c r="I20" s="2"/>
    </row>
    <row r="21" spans="1:2" ht="14.25">
      <c r="A21" s="2"/>
      <c r="B21" s="2"/>
    </row>
    <row r="22" spans="1:2" ht="14.25">
      <c r="A22" s="1" t="s">
        <v>96</v>
      </c>
      <c r="B22" s="2"/>
    </row>
    <row r="23" spans="1:2" ht="14.25">
      <c r="A23" s="13" t="s">
        <v>46</v>
      </c>
      <c r="B23" s="69">
        <f>((B7/B12)*((1+B9)+B10*(B8-B9)))+B9</f>
        <v>0.10400000000000001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3">
      <selection activeCell="C19" sqref="C19"/>
    </sheetView>
  </sheetViews>
  <sheetFormatPr defaultColWidth="9.140625" defaultRowHeight="15"/>
  <cols>
    <col min="1" max="1" width="29.421875" style="42" customWidth="1"/>
    <col min="2" max="2" width="10.421875" style="42" customWidth="1"/>
    <col min="3" max="5" width="9.140625" style="42" customWidth="1"/>
    <col min="6" max="6" width="11.140625" style="42" customWidth="1"/>
    <col min="7" max="16384" width="9.140625" style="42" customWidth="1"/>
  </cols>
  <sheetData>
    <row r="1" spans="1:4" ht="15">
      <c r="A1" s="40" t="s">
        <v>5</v>
      </c>
      <c r="B1" s="41"/>
      <c r="C1" s="41"/>
      <c r="D1" s="41"/>
    </row>
    <row r="2" spans="1:4" ht="15">
      <c r="A2" s="40" t="s">
        <v>91</v>
      </c>
      <c r="B2" s="41"/>
      <c r="C2" s="41"/>
      <c r="D2" s="41"/>
    </row>
    <row r="3" spans="1:4" ht="15">
      <c r="A3" s="41" t="s">
        <v>109</v>
      </c>
      <c r="B3" s="41"/>
      <c r="C3" s="41"/>
      <c r="D3" s="41"/>
    </row>
    <row r="4" spans="1:4" ht="15">
      <c r="A4" s="41"/>
      <c r="B4" s="40"/>
      <c r="C4" s="41"/>
      <c r="D4" s="41"/>
    </row>
    <row r="5" spans="1:4" ht="15">
      <c r="A5" s="40"/>
      <c r="B5" s="40"/>
      <c r="C5" s="41"/>
      <c r="D5" s="41"/>
    </row>
    <row r="6" spans="1:12" ht="15">
      <c r="A6" s="43" t="s">
        <v>85</v>
      </c>
      <c r="C6" s="52"/>
      <c r="D6" s="52"/>
      <c r="E6" s="52"/>
      <c r="G6" s="41"/>
      <c r="H6" s="41"/>
      <c r="I6" s="41"/>
      <c r="J6" s="41"/>
      <c r="K6" s="41"/>
      <c r="L6" s="41"/>
    </row>
    <row r="7" spans="1:12" ht="15">
      <c r="A7" s="44" t="s">
        <v>21</v>
      </c>
      <c r="B7" s="59">
        <v>1</v>
      </c>
      <c r="C7" s="52"/>
      <c r="D7" s="52"/>
      <c r="E7" s="52"/>
      <c r="G7" s="41"/>
      <c r="H7" s="41"/>
      <c r="I7" s="41"/>
      <c r="J7" s="41"/>
      <c r="K7" s="41"/>
      <c r="L7" s="41"/>
    </row>
    <row r="8" spans="1:9" s="53" customFormat="1" ht="15">
      <c r="A8" s="41" t="s">
        <v>33</v>
      </c>
      <c r="B8" s="45">
        <v>0.1</v>
      </c>
      <c r="C8" s="41"/>
      <c r="D8" s="41"/>
      <c r="E8" s="41"/>
      <c r="F8" s="41"/>
      <c r="G8" s="41"/>
      <c r="H8" s="41"/>
      <c r="I8" s="46"/>
    </row>
    <row r="9" spans="1:9" s="53" customFormat="1" ht="15">
      <c r="A9" s="44" t="s">
        <v>23</v>
      </c>
      <c r="B9" s="47">
        <v>50</v>
      </c>
      <c r="C9" s="41"/>
      <c r="D9" s="41"/>
      <c r="E9" s="41"/>
      <c r="F9" s="41"/>
      <c r="G9" s="41"/>
      <c r="H9" s="41"/>
      <c r="I9" s="46"/>
    </row>
    <row r="10" spans="1:12" ht="15">
      <c r="A10" s="61" t="s">
        <v>92</v>
      </c>
      <c r="B10" s="59"/>
      <c r="C10" s="52"/>
      <c r="D10" s="52"/>
      <c r="E10" s="52"/>
      <c r="G10" s="41"/>
      <c r="H10" s="41"/>
      <c r="I10" s="41"/>
      <c r="J10" s="41"/>
      <c r="K10" s="41"/>
      <c r="L10" s="41"/>
    </row>
    <row r="11" spans="1:12" ht="18">
      <c r="A11" s="41" t="s">
        <v>78</v>
      </c>
      <c r="B11" s="45">
        <v>0.2</v>
      </c>
      <c r="C11" s="52"/>
      <c r="D11" s="52"/>
      <c r="E11" s="52"/>
      <c r="G11" s="44"/>
      <c r="H11" s="41"/>
      <c r="I11" s="41"/>
      <c r="J11" s="41"/>
      <c r="K11" s="41"/>
      <c r="L11" s="41"/>
    </row>
    <row r="12" spans="1:12" ht="18">
      <c r="A12" s="41" t="s">
        <v>79</v>
      </c>
      <c r="B12" s="45">
        <v>0.05</v>
      </c>
      <c r="C12" s="52"/>
      <c r="D12" s="52"/>
      <c r="E12" s="52"/>
      <c r="G12" s="44"/>
      <c r="H12" s="41"/>
      <c r="I12" s="41"/>
      <c r="J12" s="41"/>
      <c r="K12" s="41"/>
      <c r="L12" s="41"/>
    </row>
    <row r="13" spans="1:12" ht="15">
      <c r="A13" s="41" t="s">
        <v>76</v>
      </c>
      <c r="B13" s="41">
        <v>3</v>
      </c>
      <c r="C13" s="52"/>
      <c r="D13" s="52"/>
      <c r="E13" s="52"/>
      <c r="G13" s="44"/>
      <c r="H13" s="41"/>
      <c r="I13" s="41"/>
      <c r="J13" s="41"/>
      <c r="K13" s="41"/>
      <c r="L13" s="41"/>
    </row>
    <row r="14" spans="1:9" s="53" customFormat="1" ht="15">
      <c r="A14" s="44"/>
      <c r="B14" s="45"/>
      <c r="C14" s="41"/>
      <c r="D14" s="41"/>
      <c r="E14" s="41"/>
      <c r="F14" s="41"/>
      <c r="G14" s="41"/>
      <c r="H14" s="41"/>
      <c r="I14" s="46"/>
    </row>
    <row r="15" spans="1:9" s="53" customFormat="1" ht="15">
      <c r="A15" s="44"/>
      <c r="B15" s="45"/>
      <c r="C15" s="41"/>
      <c r="D15" s="41"/>
      <c r="E15" s="41"/>
      <c r="F15" s="41"/>
      <c r="G15" s="41"/>
      <c r="H15" s="41"/>
      <c r="I15" s="46"/>
    </row>
    <row r="16" spans="1:8" ht="15">
      <c r="A16" s="40" t="s">
        <v>84</v>
      </c>
      <c r="B16" s="41"/>
      <c r="C16" s="48"/>
      <c r="D16" s="41"/>
      <c r="G16" s="49"/>
      <c r="H16" s="49"/>
    </row>
    <row r="17" spans="1:8" ht="18">
      <c r="A17" s="40"/>
      <c r="B17" s="63" t="s">
        <v>88</v>
      </c>
      <c r="C17" s="64" t="s">
        <v>89</v>
      </c>
      <c r="D17" s="41"/>
      <c r="G17" s="49"/>
      <c r="H17" s="49"/>
    </row>
    <row r="18" spans="1:8" ht="18">
      <c r="A18" s="41" t="s">
        <v>86</v>
      </c>
      <c r="B18" s="65">
        <f>B7*(1+B11)</f>
        <v>1.2</v>
      </c>
      <c r="C18" s="66">
        <f>B18/(1+B$8)</f>
        <v>1.0909090909090908</v>
      </c>
      <c r="D18" s="41"/>
      <c r="G18" s="49"/>
      <c r="H18" s="49"/>
    </row>
    <row r="19" spans="1:8" ht="18">
      <c r="A19" s="41" t="s">
        <v>87</v>
      </c>
      <c r="B19" s="65">
        <f>B18*(1+B$11)</f>
        <v>1.44</v>
      </c>
      <c r="C19" s="66">
        <f>B19/(1+B$8)^2</f>
        <v>1.190082644628099</v>
      </c>
      <c r="D19" s="41"/>
      <c r="G19" s="49"/>
      <c r="H19" s="49"/>
    </row>
    <row r="20" spans="1:8" ht="15">
      <c r="A20" s="41"/>
      <c r="B20" s="41"/>
      <c r="C20" s="48"/>
      <c r="D20" s="41"/>
      <c r="G20" s="49"/>
      <c r="H20" s="49"/>
    </row>
    <row r="21" spans="1:8" ht="15">
      <c r="A21" s="41" t="s">
        <v>93</v>
      </c>
      <c r="B21" s="46">
        <f>((B19*(1+B12))/(B8-B12))/((1+B8)^2)</f>
        <v>24.991735537190078</v>
      </c>
      <c r="C21" s="48"/>
      <c r="D21" s="60" t="e">
        <f>B21/B24</f>
        <v>#DIV/0!</v>
      </c>
      <c r="E21" s="42" t="s">
        <v>83</v>
      </c>
      <c r="G21" s="49"/>
      <c r="H21" s="49"/>
    </row>
    <row r="22" spans="1:8" ht="15">
      <c r="A22" s="41" t="s">
        <v>94</v>
      </c>
      <c r="B22" s="46">
        <f>((B19*B13*(B11-B12))/(B8-B12))/((1+B8)^2)</f>
        <v>10.710743801652892</v>
      </c>
      <c r="C22" s="48"/>
      <c r="D22" s="60" t="e">
        <f>B22/B24</f>
        <v>#DIV/0!</v>
      </c>
      <c r="E22" s="42" t="s">
        <v>83</v>
      </c>
      <c r="G22" s="49"/>
      <c r="H22" s="49"/>
    </row>
    <row r="23" spans="1:8" ht="15">
      <c r="A23" s="41" t="s">
        <v>95</v>
      </c>
      <c r="B23" s="46">
        <f>SUM(C18:C19)</f>
        <v>2.2809917355371896</v>
      </c>
      <c r="C23" s="48"/>
      <c r="D23" s="60" t="e">
        <f>B23/B24</f>
        <v>#DIV/0!</v>
      </c>
      <c r="E23" s="42" t="s">
        <v>83</v>
      </c>
      <c r="G23" s="49"/>
      <c r="H23" s="49"/>
    </row>
    <row r="24" spans="1:12" ht="15">
      <c r="A24" s="54" t="s">
        <v>65</v>
      </c>
      <c r="B24" s="95"/>
      <c r="C24" s="55"/>
      <c r="D24" s="55"/>
      <c r="E24" s="53"/>
      <c r="F24" s="53"/>
      <c r="G24" s="55"/>
      <c r="H24" s="53"/>
      <c r="I24" s="53"/>
      <c r="J24" s="41"/>
      <c r="K24" s="41"/>
      <c r="L24" s="41"/>
    </row>
    <row r="25" spans="1:9" ht="15">
      <c r="A25" s="56"/>
      <c r="B25" s="57" t="str">
        <f>IF(B24&lt;B9,"Overvalued","Undervalued")</f>
        <v>Overvalued</v>
      </c>
      <c r="C25" s="58"/>
      <c r="D25" s="58"/>
      <c r="E25" s="53"/>
      <c r="F25" s="53"/>
      <c r="G25" s="53"/>
      <c r="H25" s="53"/>
      <c r="I25" s="53"/>
    </row>
    <row r="26" spans="1:9" ht="15">
      <c r="A26" s="41"/>
      <c r="B26" s="48"/>
      <c r="C26" s="50"/>
      <c r="G26" s="51"/>
      <c r="H26" s="51"/>
      <c r="I26" s="41"/>
    </row>
    <row r="27" spans="1:2" ht="15">
      <c r="A27" s="41"/>
      <c r="B27" s="4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="130" zoomScaleNormal="130" zoomScalePageLayoutView="0" workbookViewId="0" topLeftCell="A1">
      <selection activeCell="B16" sqref="B16"/>
    </sheetView>
  </sheetViews>
  <sheetFormatPr defaultColWidth="9.140625" defaultRowHeight="15"/>
  <cols>
    <col min="1" max="1" width="29.421875" style="42" customWidth="1"/>
    <col min="2" max="2" width="16.140625" style="42" customWidth="1"/>
    <col min="3" max="5" width="9.140625" style="42" customWidth="1"/>
    <col min="6" max="6" width="11.140625" style="42" customWidth="1"/>
    <col min="7" max="16384" width="9.140625" style="42" customWidth="1"/>
  </cols>
  <sheetData>
    <row r="1" spans="1:4" ht="15">
      <c r="A1" s="40" t="s">
        <v>5</v>
      </c>
      <c r="B1" s="41"/>
      <c r="C1" s="41"/>
      <c r="D1" s="41"/>
    </row>
    <row r="2" spans="1:4" ht="15">
      <c r="A2" s="40" t="s">
        <v>97</v>
      </c>
      <c r="B2" s="41"/>
      <c r="C2" s="41"/>
      <c r="D2" s="41"/>
    </row>
    <row r="3" spans="1:4" ht="15">
      <c r="A3" s="41" t="s">
        <v>98</v>
      </c>
      <c r="B3" s="41"/>
      <c r="C3" s="41"/>
      <c r="D3" s="41"/>
    </row>
    <row r="4" spans="1:4" ht="15">
      <c r="A4" s="41"/>
      <c r="B4" s="40"/>
      <c r="C4" s="41"/>
      <c r="D4" s="41"/>
    </row>
    <row r="5" spans="1:4" ht="15">
      <c r="A5" s="40"/>
      <c r="B5" s="40"/>
      <c r="C5" s="41"/>
      <c r="D5" s="41"/>
    </row>
    <row r="6" spans="1:12" ht="15">
      <c r="A6" s="43" t="s">
        <v>82</v>
      </c>
      <c r="C6" s="52"/>
      <c r="D6" s="52"/>
      <c r="E6" s="52"/>
      <c r="G6" s="41"/>
      <c r="H6" s="41"/>
      <c r="I6" s="41"/>
      <c r="J6" s="41"/>
      <c r="K6" s="41"/>
      <c r="L6" s="41"/>
    </row>
    <row r="7" spans="1:12" ht="15">
      <c r="A7" s="44" t="s">
        <v>100</v>
      </c>
      <c r="B7" s="67">
        <v>0.05</v>
      </c>
      <c r="C7" s="52"/>
      <c r="D7" s="52"/>
      <c r="E7" s="52"/>
      <c r="G7" s="44"/>
      <c r="H7" s="67"/>
      <c r="I7" s="41"/>
      <c r="J7" s="41"/>
      <c r="K7" s="41"/>
      <c r="L7" s="41"/>
    </row>
    <row r="8" spans="1:12" ht="15">
      <c r="A8" s="44" t="s">
        <v>101</v>
      </c>
      <c r="B8" s="41">
        <v>1.5</v>
      </c>
      <c r="C8" s="52"/>
      <c r="D8" s="52"/>
      <c r="E8" s="52"/>
      <c r="G8" s="44"/>
      <c r="H8" s="67"/>
      <c r="I8" s="41"/>
      <c r="J8" s="41"/>
      <c r="K8" s="41"/>
      <c r="L8" s="41"/>
    </row>
    <row r="9" spans="1:12" ht="15">
      <c r="A9" s="41" t="s">
        <v>99</v>
      </c>
      <c r="B9" s="68">
        <v>2</v>
      </c>
      <c r="C9" s="52"/>
      <c r="D9" s="52"/>
      <c r="E9" s="52"/>
      <c r="G9" s="44"/>
      <c r="H9" s="41"/>
      <c r="I9" s="41"/>
      <c r="J9" s="41"/>
      <c r="K9" s="41"/>
      <c r="L9" s="41"/>
    </row>
    <row r="10" spans="1:9" s="53" customFormat="1" ht="15">
      <c r="A10" s="44" t="s">
        <v>105</v>
      </c>
      <c r="B10" s="45">
        <v>0.6</v>
      </c>
      <c r="C10" s="41"/>
      <c r="D10" s="41"/>
      <c r="E10" s="41"/>
      <c r="F10" s="41"/>
      <c r="G10" s="41"/>
      <c r="H10" s="41"/>
      <c r="I10" s="46"/>
    </row>
    <row r="11" spans="1:9" s="53" customFormat="1" ht="15">
      <c r="A11" s="44"/>
      <c r="B11" s="45"/>
      <c r="C11" s="41"/>
      <c r="D11" s="41"/>
      <c r="E11" s="41"/>
      <c r="F11" s="41"/>
      <c r="G11" s="41"/>
      <c r="H11" s="41"/>
      <c r="I11" s="46"/>
    </row>
    <row r="12" spans="1:8" ht="15">
      <c r="A12" s="40" t="s">
        <v>102</v>
      </c>
      <c r="B12" s="41"/>
      <c r="C12" s="48"/>
      <c r="D12" s="41"/>
      <c r="G12" s="49"/>
      <c r="H12" s="49"/>
    </row>
    <row r="13" spans="1:8" ht="15">
      <c r="A13" s="44" t="s">
        <v>104</v>
      </c>
      <c r="B13" s="96"/>
      <c r="C13" s="48"/>
      <c r="D13" s="41"/>
      <c r="G13" s="49"/>
      <c r="H13" s="49"/>
    </row>
    <row r="14" spans="1:12" ht="15">
      <c r="A14" s="44" t="s">
        <v>103</v>
      </c>
      <c r="B14" s="67">
        <f>PRODUCT(B7:B9)</f>
        <v>0.15000000000000002</v>
      </c>
      <c r="C14" s="52"/>
      <c r="D14" s="52"/>
      <c r="E14" s="52"/>
      <c r="G14" s="41"/>
      <c r="H14" s="41"/>
      <c r="I14" s="41"/>
      <c r="J14" s="41"/>
      <c r="K14" s="41"/>
      <c r="L14" s="41"/>
    </row>
    <row r="15" spans="1:2" ht="15">
      <c r="A15" s="42" t="s">
        <v>106</v>
      </c>
      <c r="B15" s="50">
        <f>B14*B10</f>
        <v>0.09000000000000001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Discounted Dividend Valuation</dc:title>
  <dc:subject/>
  <dc:creator>Mitchell Conover</dc:creator>
  <cp:keywords/>
  <dc:description/>
  <cp:lastModifiedBy>ULK STUDENT</cp:lastModifiedBy>
  <dcterms:created xsi:type="dcterms:W3CDTF">2011-01-30T13:12:34Z</dcterms:created>
  <dcterms:modified xsi:type="dcterms:W3CDTF">2014-12-05T10:08:34Z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0x010100F03A8E2D0F095B4E96780378BF441975</vt:lpwstr>
  </property>
  <property fmtid="{D5CDD505-2E9C-101B-9397-08002B2CF9AE}" pid="3" name="ContentID">
    <vt:lpwstr/>
  </property>
  <property fmtid="{D5CDD505-2E9C-101B-9397-08002B2CF9AE}" pid="4" name="IsApproved">
    <vt:lpwstr>1.00000000000000</vt:lpwstr>
  </property>
  <property fmtid="{D5CDD505-2E9C-101B-9397-08002B2CF9AE}" pid="5" name="_dlc_ExpireDate">
    <vt:lpwstr/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Order">
    <vt:lpwstr>7000.00000000000</vt:lpwstr>
  </property>
  <property fmtid="{D5CDD505-2E9C-101B-9397-08002B2CF9AE}" pid="12" name="_dlc_Exempt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_dlc_ExpireDateSaved">
    <vt:lpwstr/>
  </property>
  <property fmtid="{D5CDD505-2E9C-101B-9397-08002B2CF9AE}" pid="16" name="ItemRetentionFormula">
    <vt:lpwstr/>
  </property>
  <property fmtid="{D5CDD505-2E9C-101B-9397-08002B2CF9AE}" pid="17" name="_dlc_policyId">
    <vt:lpwstr/>
  </property>
  <property fmtid="{D5CDD505-2E9C-101B-9397-08002B2CF9AE}" pid="18" name="display_urn:schemas-microsoft-com:office:office#Editor">
    <vt:lpwstr>System Account</vt:lpwstr>
  </property>
  <property fmtid="{D5CDD505-2E9C-101B-9397-08002B2CF9AE}" pid="19" name="display_urn:schemas-microsoft-com:office:office#Author">
    <vt:lpwstr>System Account</vt:lpwstr>
  </property>
</Properties>
</file>