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K Tax Advisers Ltd\Contractors\New client pack\"/>
    </mc:Choice>
  </mc:AlternateContent>
  <bookViews>
    <workbookView xWindow="0" yWindow="0" windowWidth="25200" windowHeight="11985" tabRatio="513"/>
  </bookViews>
  <sheets>
    <sheet name="New info in" sheetId="4" r:id="rId1"/>
    <sheet name="Cashflow summary" sheetId="1" r:id="rId2"/>
    <sheet name="Detailed calculations" sheetId="2" r:id="rId3"/>
    <sheet name="Tax rates and data" sheetId="5" r:id="rId4"/>
  </sheets>
  <calcPr calcId="152511"/>
</workbook>
</file>

<file path=xl/calcChain.xml><?xml version="1.0" encoding="utf-8"?>
<calcChain xmlns="http://schemas.openxmlformats.org/spreadsheetml/2006/main">
  <c r="F26" i="4" l="1"/>
  <c r="F30" i="5"/>
  <c r="B5" i="1"/>
  <c r="D5" i="1" s="1"/>
  <c r="D5" i="2" s="1"/>
  <c r="C20" i="4"/>
  <c r="C21" i="4" s="1"/>
  <c r="H8" i="5"/>
  <c r="D6" i="2" s="1"/>
  <c r="D7" i="2"/>
  <c r="C16" i="1"/>
  <c r="G17" i="5"/>
  <c r="D17" i="2"/>
  <c r="C23" i="2" s="1"/>
  <c r="D23" i="2" s="1"/>
  <c r="D26" i="4"/>
  <c r="D34" i="2"/>
  <c r="B26" i="4"/>
  <c r="F13" i="4"/>
  <c r="D27" i="4"/>
  <c r="A23" i="1"/>
  <c r="A1" i="1"/>
  <c r="D23" i="1"/>
  <c r="C26" i="4"/>
  <c r="F22" i="5" l="1"/>
  <c r="C17" i="1"/>
  <c r="D18" i="1" s="1"/>
  <c r="C22" i="4"/>
  <c r="D20" i="1"/>
  <c r="F29" i="5"/>
  <c r="F31" i="5" s="1"/>
  <c r="F12" i="4" s="1"/>
  <c r="D8" i="2"/>
  <c r="D10" i="2" s="1"/>
  <c r="K8" i="2"/>
  <c r="D11" i="2" l="1"/>
  <c r="K4" i="2" l="1"/>
  <c r="F8" i="1"/>
  <c r="D12" i="2"/>
  <c r="D27" i="2" s="1"/>
  <c r="D26" i="2" l="1"/>
  <c r="D16" i="2"/>
  <c r="D22" i="2" s="1"/>
  <c r="D18" i="2" l="1"/>
  <c r="D20" i="2" l="1"/>
  <c r="C24" i="2" s="1"/>
  <c r="D24" i="2" s="1"/>
  <c r="F11" i="1" s="1"/>
  <c r="F34" i="5"/>
  <c r="G15" i="5"/>
  <c r="G16" i="5" s="1"/>
  <c r="F15" i="5"/>
  <c r="F16" i="5" s="1"/>
  <c r="F17" i="5" s="1"/>
  <c r="C18" i="5" s="1"/>
  <c r="F10" i="1"/>
  <c r="D36" i="2"/>
  <c r="D37" i="2" s="1"/>
  <c r="C27" i="4" l="1"/>
  <c r="B27" i="4"/>
  <c r="D29" i="2"/>
  <c r="D25" i="2"/>
  <c r="D19" i="1" s="1"/>
  <c r="K3" i="2" l="1"/>
  <c r="K6" i="2" s="1"/>
  <c r="F21" i="5"/>
  <c r="F23" i="5" s="1"/>
  <c r="F21" i="4" s="1"/>
  <c r="F25" i="5"/>
  <c r="C23" i="4"/>
  <c r="C24" i="4" s="1"/>
  <c r="H8" i="2" l="1"/>
  <c r="C6" i="1" s="1"/>
  <c r="D6" i="1" s="1"/>
  <c r="C18" i="4" l="1"/>
  <c r="F6" i="1"/>
  <c r="F7" i="1" s="1"/>
  <c r="F9" i="1" s="1"/>
  <c r="F12" i="1" s="1"/>
  <c r="D7" i="1"/>
  <c r="C7" i="1" l="1"/>
  <c r="D15" i="1"/>
  <c r="D21" i="1" s="1"/>
</calcChain>
</file>

<file path=xl/sharedStrings.xml><?xml version="1.0" encoding="utf-8"?>
<sst xmlns="http://schemas.openxmlformats.org/spreadsheetml/2006/main" count="137" uniqueCount="121">
  <si>
    <t>Company</t>
  </si>
  <si>
    <t>%</t>
  </si>
  <si>
    <t>Current a/c</t>
  </si>
  <si>
    <t>Deposit a/c</t>
  </si>
  <si>
    <t>£</t>
  </si>
  <si>
    <t xml:space="preserve"> </t>
  </si>
  <si>
    <t>Balance in accounts</t>
  </si>
  <si>
    <t>Corporation tax payable 9 months after year end</t>
  </si>
  <si>
    <t>Salary</t>
  </si>
  <si>
    <t xml:space="preserve">Income &amp; </t>
  </si>
  <si>
    <t>all expenses</t>
  </si>
  <si>
    <t>PERSONAL TAX POSITION</t>
  </si>
  <si>
    <t>Total income</t>
  </si>
  <si>
    <t>Less personal allowance</t>
  </si>
  <si>
    <t>Taxable income</t>
  </si>
  <si>
    <t>Higher rate tax</t>
  </si>
  <si>
    <t>Notes</t>
  </si>
  <si>
    <t>Contract rate per day</t>
  </si>
  <si>
    <t>Train/tube/mileage estimate</t>
  </si>
  <si>
    <t>Other expenses</t>
  </si>
  <si>
    <t>Restrict drawings to avoid HRT?</t>
  </si>
  <si>
    <t>N</t>
  </si>
  <si>
    <t xml:space="preserve">Student loan </t>
  </si>
  <si>
    <t>Higher rate tax &amp; dividend tax</t>
  </si>
  <si>
    <t>This is estimate of other expenses (accountancy, insurance, use of home etc)</t>
  </si>
  <si>
    <t>Your company name</t>
  </si>
  <si>
    <t>Summary of drawings from company</t>
  </si>
  <si>
    <t>Annual cashflow summary</t>
  </si>
  <si>
    <t>Dividend tax @ 0% (dividends up to personal allowance)</t>
  </si>
  <si>
    <t>Personal higher rate tax &amp; dividend tax</t>
  </si>
  <si>
    <t>Remaining left to pay as dividends</t>
  </si>
  <si>
    <t>Remaining</t>
  </si>
  <si>
    <t>Taxes moved to deposit a/c</t>
  </si>
  <si>
    <t>Business expenses</t>
  </si>
  <si>
    <t>Weeks worked per year</t>
  </si>
  <si>
    <t>46 weeks is typical after holidays and bank holidays</t>
  </si>
  <si>
    <t>Contact income anticipated. Per day =</t>
  </si>
  <si>
    <t>Net dividend left to you after company paying your personal tax</t>
  </si>
  <si>
    <t>Do you want to restrict your dividends to a level to avoid higher rate tax? (Y/N)</t>
  </si>
  <si>
    <t>Profits chargeable to corporation tax</t>
  </si>
  <si>
    <t>Y</t>
  </si>
  <si>
    <t>Name</t>
  </si>
  <si>
    <t>Your overall tax % achieved is</t>
  </si>
  <si>
    <t>of daily rate.</t>
  </si>
  <si>
    <t xml:space="preserve">Which is </t>
  </si>
  <si>
    <t>Tax rates</t>
  </si>
  <si>
    <t>Personal higher rate tax (co to pay on your behalf)</t>
  </si>
  <si>
    <t>Personal dividend tax (co to pay on your behalf)</t>
  </si>
  <si>
    <t>Less travel &amp; subsistence expenses</t>
  </si>
  <si>
    <t>Other estimated expenses (accountancy, insurance, etc)</t>
  </si>
  <si>
    <t>Less salary</t>
  </si>
  <si>
    <t>Corporation tax</t>
  </si>
  <si>
    <t xml:space="preserve">of daily rate </t>
  </si>
  <si>
    <t>Subsistence day rates</t>
  </si>
  <si>
    <t>Subsistence daily scale rate</t>
  </si>
  <si>
    <t>Information to input</t>
  </si>
  <si>
    <t>Annual salary</t>
  </si>
  <si>
    <t>Max dividends to avoid higher rate tax</t>
  </si>
  <si>
    <t>Max dividends to HRT</t>
  </si>
  <si>
    <t>Max dividends available</t>
  </si>
  <si>
    <t>Spouse tax planning?</t>
  </si>
  <si>
    <t>Add spouse's other income details here (if any).</t>
  </si>
  <si>
    <t>SPOUSE TAX PLANNING?</t>
  </si>
  <si>
    <t>DIVIDENDS TO DIVERT TO SPOUSE</t>
  </si>
  <si>
    <t>Dividends to pay to spouse</t>
  </si>
  <si>
    <t>Other income outside Ltd co?</t>
  </si>
  <si>
    <t>Dividend tax saving</t>
  </si>
  <si>
    <t>Maximum higher rate tax saving</t>
  </si>
  <si>
    <t>SPOUSE'S OTHER INCOME</t>
  </si>
  <si>
    <t>SUMMARY RESULTS</t>
  </si>
  <si>
    <t>Anticipated income from contract</t>
  </si>
  <si>
    <t>COMPANY TAX POSITION</t>
  </si>
  <si>
    <t>OVERALL TAX % CALCULATION</t>
  </si>
  <si>
    <t>Total potential saving with spouse as shareholder</t>
  </si>
  <si>
    <t xml:space="preserve">This is daily subsisitence scale rate. £10 if out over 10hours or £5 if under or Nil </t>
  </si>
  <si>
    <t>This is travel expenses estimate (NB Nil if over 2 years at same location and Nil below)</t>
  </si>
  <si>
    <t>Amount left in company after tax put aside</t>
  </si>
  <si>
    <t>Enter your daily rate</t>
  </si>
  <si>
    <t>Total taxes to pay</t>
  </si>
  <si>
    <t>Corporation tax @ 19% =</t>
  </si>
  <si>
    <t>Client</t>
  </si>
  <si>
    <t>Dividend</t>
  </si>
  <si>
    <t>P1</t>
  </si>
  <si>
    <t>P2</t>
  </si>
  <si>
    <t>Student loan calculator</t>
  </si>
  <si>
    <t xml:space="preserve">Amount chargeable </t>
  </si>
  <si>
    <t>SL amount %</t>
  </si>
  <si>
    <t>Result</t>
  </si>
  <si>
    <t>Add dividends to be paid to spouse here (min £2,000)</t>
  </si>
  <si>
    <t>Do you have a student loan? (Enter Plan1 or Plan2/N)</t>
  </si>
  <si>
    <t>STUDENT LOAN</t>
  </si>
  <si>
    <t>Plan1</t>
  </si>
  <si>
    <t>Plan2</t>
  </si>
  <si>
    <t>Data validation</t>
  </si>
  <si>
    <t>Your monthly Gross salary</t>
  </si>
  <si>
    <t>Net monthly salary we have advised to take</t>
  </si>
  <si>
    <t>Enter here amount we have advised you to pay monthly</t>
  </si>
  <si>
    <t>Tax withheld by HMRC</t>
  </si>
  <si>
    <t>Net Monthly salary to pay</t>
  </si>
  <si>
    <t>HMRC deductions check</t>
  </si>
  <si>
    <t>Anticipated higher rate and dividend tax</t>
  </si>
  <si>
    <t xml:space="preserve">Remaining amount to pay </t>
  </si>
  <si>
    <t>HMRC tax deductions from monthly salary</t>
  </si>
  <si>
    <t>Dividends to pay</t>
  </si>
  <si>
    <t>Net Salary paid to you</t>
  </si>
  <si>
    <t>Less HMRC tax deducted from salary</t>
  </si>
  <si>
    <t>Gross Salary</t>
  </si>
  <si>
    <t>Monthly dividend to pay</t>
  </si>
  <si>
    <t>Total</t>
  </si>
  <si>
    <t>Are you VAT registered?</t>
  </si>
  <si>
    <t>Anticipated turnover</t>
  </si>
  <si>
    <t>VAT registered?</t>
  </si>
  <si>
    <t>VAT registration check?</t>
  </si>
  <si>
    <t>Result (True=to review, False=OK)</t>
  </si>
  <si>
    <t>Dividend tax @ 7.5% = (over next £2,000)</t>
  </si>
  <si>
    <t>TAX TO PUT ASIDE 2019-20</t>
  </si>
  <si>
    <t>Are you married and spouse has income below £50,000?</t>
  </si>
  <si>
    <t>Student loan threshold (19/20)</t>
  </si>
  <si>
    <t>NB ensure total income to spouse below £50,000</t>
  </si>
  <si>
    <t>Personal allowance restriction</t>
  </si>
  <si>
    <t>Total salary and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</si>
</sst>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(#,##0.00\)"/>
    <numFmt numFmtId="165" formatCode="\£#,##0"/>
    <numFmt numFmtId="166" formatCode="#,##0;\(#,##0\)"/>
    <numFmt numFmtId="167" formatCode="&quot;£&quot;#,##0"/>
    <numFmt numFmtId="168" formatCode="&quot;£&quot;#,##0;\(&quot;£&quot;#,##0\)"/>
  </numFmts>
  <fonts count="5" x14ac:knownFonts="1"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/>
    <xf numFmtId="10" fontId="2" fillId="0" borderId="0" xfId="0" applyNumberFormat="1" applyFont="1"/>
    <xf numFmtId="166" fontId="0" fillId="0" borderId="1" xfId="0" applyNumberForma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4" fontId="0" fillId="0" borderId="0" xfId="0" applyNumberFormat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6" fontId="0" fillId="0" borderId="10" xfId="0" applyNumberForma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Font="1" applyFill="1"/>
    <xf numFmtId="164" fontId="0" fillId="0" borderId="2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4" fontId="0" fillId="0" borderId="0" xfId="0" applyNumberFormat="1" applyFill="1"/>
    <xf numFmtId="4" fontId="0" fillId="0" borderId="10" xfId="0" applyNumberFormat="1" applyFill="1" applyBorder="1" applyAlignment="1">
      <alignment horizontal="right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10" xfId="0" applyNumberForma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11" xfId="0" applyFont="1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2" borderId="0" xfId="0" applyFont="1" applyFill="1" applyBorder="1" applyAlignment="1">
      <alignment horizontal="right"/>
    </xf>
    <xf numFmtId="0" fontId="0" fillId="0" borderId="12" xfId="0" applyBorder="1"/>
    <xf numFmtId="164" fontId="0" fillId="2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7" xfId="0" applyFill="1" applyBorder="1" applyAlignment="1">
      <alignment horizontal="right"/>
    </xf>
    <xf numFmtId="0" fontId="2" fillId="0" borderId="0" xfId="0" applyFont="1" applyBorder="1"/>
    <xf numFmtId="0" fontId="0" fillId="0" borderId="11" xfId="0" applyFill="1" applyBorder="1"/>
    <xf numFmtId="166" fontId="0" fillId="0" borderId="0" xfId="0" applyNumberFormat="1" applyFill="1"/>
    <xf numFmtId="0" fontId="2" fillId="0" borderId="13" xfId="0" applyFont="1" applyBorder="1"/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4" xfId="0" applyBorder="1"/>
    <xf numFmtId="0" fontId="2" fillId="0" borderId="15" xfId="0" applyFont="1" applyBorder="1"/>
    <xf numFmtId="0" fontId="0" fillId="0" borderId="14" xfId="0" applyBorder="1" applyAlignment="1">
      <alignment horizontal="right"/>
    </xf>
    <xf numFmtId="0" fontId="0" fillId="0" borderId="15" xfId="0" applyBorder="1"/>
    <xf numFmtId="164" fontId="0" fillId="0" borderId="0" xfId="0" applyNumberFormat="1" applyBorder="1"/>
    <xf numFmtId="4" fontId="2" fillId="0" borderId="4" xfId="0" applyNumberFormat="1" applyFont="1" applyBorder="1" applyAlignment="1">
      <alignment horizontal="center"/>
    </xf>
    <xf numFmtId="4" fontId="0" fillId="0" borderId="5" xfId="0" applyNumberFormat="1" applyBorder="1"/>
    <xf numFmtId="4" fontId="0" fillId="0" borderId="12" xfId="0" applyNumberFormat="1" applyBorder="1"/>
    <xf numFmtId="4" fontId="0" fillId="0" borderId="0" xfId="0" applyNumberFormat="1" applyFont="1" applyBorder="1" applyAlignment="1">
      <alignment horizontal="center"/>
    </xf>
    <xf numFmtId="164" fontId="0" fillId="0" borderId="12" xfId="0" applyNumberFormat="1" applyFill="1" applyBorder="1"/>
    <xf numFmtId="0" fontId="0" fillId="0" borderId="6" xfId="0" applyFont="1" applyFill="1" applyBorder="1"/>
    <xf numFmtId="0" fontId="0" fillId="0" borderId="7" xfId="0" applyFill="1" applyBorder="1"/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Fill="1" applyBorder="1"/>
    <xf numFmtId="10" fontId="2" fillId="0" borderId="0" xfId="0" applyNumberFormat="1" applyFont="1" applyFill="1" applyBorder="1"/>
    <xf numFmtId="0" fontId="2" fillId="0" borderId="13" xfId="0" applyFont="1" applyBorder="1" applyAlignment="1">
      <alignment horizontal="left"/>
    </xf>
    <xf numFmtId="0" fontId="2" fillId="0" borderId="16" xfId="0" applyFont="1" applyBorder="1"/>
    <xf numFmtId="4" fontId="2" fillId="0" borderId="2" xfId="0" applyNumberFormat="1" applyFont="1" applyBorder="1" applyAlignment="1">
      <alignment horizontal="center"/>
    </xf>
    <xf numFmtId="4" fontId="0" fillId="0" borderId="17" xfId="0" applyNumberFormat="1" applyBorder="1"/>
    <xf numFmtId="4" fontId="0" fillId="0" borderId="0" xfId="0" applyNumberFormat="1" applyFill="1" applyBorder="1" applyAlignment="1">
      <alignment horizontal="right"/>
    </xf>
    <xf numFmtId="4" fontId="0" fillId="0" borderId="12" xfId="0" applyNumberFormat="1" applyFill="1" applyBorder="1"/>
    <xf numFmtId="0" fontId="2" fillId="0" borderId="13" xfId="0" applyFont="1" applyFill="1" applyBorder="1"/>
    <xf numFmtId="0" fontId="0" fillId="0" borderId="14" xfId="0" applyFill="1" applyBorder="1"/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/>
    <xf numFmtId="164" fontId="0" fillId="3" borderId="0" xfId="0" applyNumberForma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0" fillId="0" borderId="8" xfId="0" quotePrefix="1" applyFill="1" applyBorder="1"/>
    <xf numFmtId="3" fontId="0" fillId="0" borderId="0" xfId="0" applyNumberFormat="1"/>
    <xf numFmtId="10" fontId="0" fillId="0" borderId="0" xfId="0" applyNumberFormat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" fillId="0" borderId="13" xfId="0" applyFont="1" applyBorder="1"/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6" xfId="0" applyFont="1" applyBorder="1"/>
    <xf numFmtId="3" fontId="0" fillId="0" borderId="0" xfId="0" applyNumberFormat="1" applyBorder="1"/>
    <xf numFmtId="3" fontId="0" fillId="0" borderId="7" xfId="0" applyNumberFormat="1" applyBorder="1"/>
    <xf numFmtId="4" fontId="0" fillId="0" borderId="7" xfId="0" applyNumberFormat="1" applyBorder="1"/>
    <xf numFmtId="0" fontId="4" fillId="4" borderId="11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12" xfId="0" applyFont="1" applyFill="1" applyBorder="1"/>
    <xf numFmtId="3" fontId="4" fillId="4" borderId="0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left"/>
    </xf>
    <xf numFmtId="0" fontId="4" fillId="4" borderId="6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/>
    <xf numFmtId="0" fontId="4" fillId="4" borderId="8" xfId="0" applyFont="1" applyFill="1" applyBorder="1"/>
    <xf numFmtId="4" fontId="2" fillId="0" borderId="0" xfId="0" applyNumberFormat="1" applyFont="1" applyBorder="1" applyAlignment="1">
      <alignment horizontal="center"/>
    </xf>
    <xf numFmtId="0" fontId="1" fillId="4" borderId="11" xfId="0" applyFont="1" applyFill="1" applyBorder="1"/>
    <xf numFmtId="0" fontId="1" fillId="4" borderId="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2" xfId="0" applyNumberFormat="1" applyBorder="1"/>
    <xf numFmtId="0" fontId="2" fillId="0" borderId="7" xfId="0" applyFont="1" applyBorder="1"/>
    <xf numFmtId="3" fontId="2" fillId="0" borderId="7" xfId="0" applyNumberFormat="1" applyFont="1" applyBorder="1"/>
    <xf numFmtId="167" fontId="4" fillId="4" borderId="12" xfId="0" applyNumberFormat="1" applyFont="1" applyFill="1" applyBorder="1" applyAlignment="1">
      <alignment horizontal="left"/>
    </xf>
    <xf numFmtId="167" fontId="1" fillId="4" borderId="12" xfId="0" applyNumberFormat="1" applyFont="1" applyFill="1" applyBorder="1" applyAlignment="1">
      <alignment horizontal="left"/>
    </xf>
    <xf numFmtId="167" fontId="1" fillId="4" borderId="0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/>
    <xf numFmtId="0" fontId="0" fillId="0" borderId="2" xfId="0" applyFill="1" applyBorder="1" applyAlignment="1">
      <alignment horizontal="right"/>
    </xf>
    <xf numFmtId="3" fontId="0" fillId="0" borderId="0" xfId="0" applyNumberFormat="1" applyFill="1" applyBorder="1"/>
    <xf numFmtId="0" fontId="0" fillId="0" borderId="5" xfId="0" applyBorder="1" applyAlignment="1">
      <alignment horizontal="right"/>
    </xf>
    <xf numFmtId="0" fontId="2" fillId="0" borderId="4" xfId="0" applyFont="1" applyBorder="1" applyAlignment="1">
      <alignment horizontal="right"/>
    </xf>
    <xf numFmtId="10" fontId="1" fillId="4" borderId="0" xfId="0" applyNumberFormat="1" applyFont="1" applyFill="1" applyBorder="1" applyAlignment="1">
      <alignment horizontal="center"/>
    </xf>
    <xf numFmtId="168" fontId="4" fillId="4" borderId="2" xfId="0" applyNumberFormat="1" applyFont="1" applyFill="1" applyBorder="1" applyAlignment="1">
      <alignment horizontal="center"/>
    </xf>
    <xf numFmtId="167" fontId="1" fillId="4" borderId="2" xfId="0" applyNumberFormat="1" applyFont="1" applyFill="1" applyBorder="1" applyAlignment="1">
      <alignment horizontal="center"/>
    </xf>
    <xf numFmtId="3" fontId="0" fillId="0" borderId="4" xfId="0" applyNumberFormat="1" applyBorder="1"/>
    <xf numFmtId="0" fontId="0" fillId="0" borderId="7" xfId="0" applyBorder="1" applyAlignment="1">
      <alignment horizontal="right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selection activeCell="D3" sqref="D3"/>
    </sheetView>
  </sheetViews>
  <sheetFormatPr defaultRowHeight="12.75" x14ac:dyDescent="0.2"/>
  <cols>
    <col min="1" max="1" width="1.6640625" customWidth="1"/>
    <col min="2" max="2" width="35" customWidth="1"/>
    <col min="3" max="3" width="11.5" style="43" customWidth="1"/>
    <col min="4" max="4" width="24.83203125" style="25" customWidth="1"/>
    <col min="5" max="5" width="4" customWidth="1"/>
    <col min="6" max="6" width="78.83203125" customWidth="1"/>
  </cols>
  <sheetData>
    <row r="1" spans="2:8" ht="4.5" customHeight="1" thickBot="1" x14ac:dyDescent="0.25"/>
    <row r="2" spans="2:8" ht="18.75" x14ac:dyDescent="0.3">
      <c r="B2" s="97" t="s">
        <v>115</v>
      </c>
      <c r="C2" s="60"/>
      <c r="D2" s="61" t="s">
        <v>55</v>
      </c>
      <c r="E2" s="62"/>
      <c r="F2" s="63" t="s">
        <v>16</v>
      </c>
    </row>
    <row r="3" spans="2:8" x14ac:dyDescent="0.2">
      <c r="B3" s="45" t="s">
        <v>41</v>
      </c>
      <c r="C3" s="46"/>
      <c r="D3" s="48" t="s">
        <v>80</v>
      </c>
      <c r="E3" s="18"/>
      <c r="F3" s="49" t="s">
        <v>25</v>
      </c>
    </row>
    <row r="4" spans="2:8" x14ac:dyDescent="0.2">
      <c r="B4" s="45" t="s">
        <v>17</v>
      </c>
      <c r="C4" s="46"/>
      <c r="D4" s="50">
        <v>200</v>
      </c>
      <c r="E4" s="18"/>
      <c r="F4" s="49" t="s">
        <v>77</v>
      </c>
    </row>
    <row r="5" spans="2:8" x14ac:dyDescent="0.2">
      <c r="B5" s="45" t="s">
        <v>34</v>
      </c>
      <c r="C5" s="46"/>
      <c r="D5" s="50">
        <v>46</v>
      </c>
      <c r="E5" s="18"/>
      <c r="F5" s="49" t="s">
        <v>35</v>
      </c>
    </row>
    <row r="6" spans="2:8" x14ac:dyDescent="0.2">
      <c r="B6" s="45" t="s">
        <v>18</v>
      </c>
      <c r="C6" s="46"/>
      <c r="D6" s="50">
        <v>1500</v>
      </c>
      <c r="E6" s="18"/>
      <c r="F6" s="49" t="s">
        <v>75</v>
      </c>
    </row>
    <row r="7" spans="2:8" x14ac:dyDescent="0.2">
      <c r="B7" s="45" t="s">
        <v>54</v>
      </c>
      <c r="C7" s="46"/>
      <c r="D7" s="87">
        <v>10</v>
      </c>
      <c r="E7" s="18"/>
      <c r="F7" s="49" t="s">
        <v>74</v>
      </c>
    </row>
    <row r="8" spans="2:8" x14ac:dyDescent="0.2">
      <c r="B8" s="45" t="s">
        <v>19</v>
      </c>
      <c r="C8" s="46"/>
      <c r="D8" s="87">
        <v>1300</v>
      </c>
      <c r="E8" s="18"/>
      <c r="F8" s="49" t="s">
        <v>24</v>
      </c>
    </row>
    <row r="9" spans="2:8" x14ac:dyDescent="0.2">
      <c r="B9" s="45" t="s">
        <v>95</v>
      </c>
      <c r="C9" s="46"/>
      <c r="D9" s="87">
        <v>719</v>
      </c>
      <c r="E9" s="18"/>
      <c r="F9" s="49" t="s">
        <v>96</v>
      </c>
    </row>
    <row r="10" spans="2:8" x14ac:dyDescent="0.2">
      <c r="B10" s="45" t="s">
        <v>22</v>
      </c>
      <c r="C10" s="46"/>
      <c r="D10" s="51" t="s">
        <v>21</v>
      </c>
      <c r="E10" s="18"/>
      <c r="F10" s="49" t="s">
        <v>89</v>
      </c>
    </row>
    <row r="11" spans="2:8" x14ac:dyDescent="0.2">
      <c r="B11" s="45" t="s">
        <v>20</v>
      </c>
      <c r="C11" s="46"/>
      <c r="D11" s="51" t="s">
        <v>21</v>
      </c>
      <c r="E11" s="18"/>
      <c r="F11" s="49" t="s">
        <v>38</v>
      </c>
      <c r="H11" s="14"/>
    </row>
    <row r="12" spans="2:8" x14ac:dyDescent="0.2">
      <c r="B12" s="45" t="s">
        <v>109</v>
      </c>
      <c r="C12" s="46"/>
      <c r="D12" s="51" t="s">
        <v>21</v>
      </c>
      <c r="E12" s="18"/>
      <c r="F12" s="49" t="str">
        <f>IF('Tax rates and data'!F31=TRUE,"Contact as as you may need to VAT register","OK no further action needed")</f>
        <v>OK no further action needed</v>
      </c>
      <c r="H12" s="14"/>
    </row>
    <row r="13" spans="2:8" x14ac:dyDescent="0.2">
      <c r="B13" s="45" t="s">
        <v>65</v>
      </c>
      <c r="C13" s="46"/>
      <c r="D13" s="51" t="s">
        <v>21</v>
      </c>
      <c r="E13" s="18"/>
      <c r="F13" s="49" t="str">
        <f>IF(D13="Y","Contact us for estimate of extra tax on that income source","OK no further action needed")</f>
        <v>OK no further action needed</v>
      </c>
    </row>
    <row r="14" spans="2:8" ht="13.5" thickBot="1" x14ac:dyDescent="0.25">
      <c r="B14" s="100" t="s">
        <v>60</v>
      </c>
      <c r="C14" s="53"/>
      <c r="D14" s="55" t="s">
        <v>21</v>
      </c>
      <c r="E14" s="19"/>
      <c r="F14" s="20" t="s">
        <v>116</v>
      </c>
    </row>
    <row r="15" spans="2:8" x14ac:dyDescent="0.2">
      <c r="B15" s="18"/>
      <c r="C15" s="46"/>
      <c r="D15" s="96"/>
      <c r="E15" s="18"/>
      <c r="F15" s="18"/>
    </row>
    <row r="16" spans="2:8" ht="13.5" thickBot="1" x14ac:dyDescent="0.25">
      <c r="B16" s="18"/>
      <c r="C16" s="46"/>
      <c r="D16" s="96"/>
      <c r="E16" s="18"/>
      <c r="F16" s="18"/>
    </row>
    <row r="17" spans="2:6" ht="18.75" x14ac:dyDescent="0.3">
      <c r="B17" s="97" t="s">
        <v>69</v>
      </c>
      <c r="C17" s="60"/>
      <c r="D17" s="64"/>
      <c r="E17" s="62"/>
      <c r="F17" s="65"/>
    </row>
    <row r="18" spans="2:6" ht="15" x14ac:dyDescent="0.25">
      <c r="B18" s="104" t="s">
        <v>42</v>
      </c>
      <c r="C18" s="132">
        <f>'Cashflow summary'!C6</f>
        <v>0.1663435652173913</v>
      </c>
      <c r="D18" s="105" t="s">
        <v>43</v>
      </c>
      <c r="E18" s="106"/>
      <c r="F18" s="107"/>
    </row>
    <row r="19" spans="2:6" ht="15" x14ac:dyDescent="0.25">
      <c r="B19" s="104"/>
      <c r="C19" s="132"/>
      <c r="D19" s="105"/>
      <c r="E19" s="106"/>
      <c r="F19" s="107"/>
    </row>
    <row r="20" spans="2:6" ht="15" x14ac:dyDescent="0.25">
      <c r="B20" s="104" t="s">
        <v>94</v>
      </c>
      <c r="C20" s="124">
        <f>'Tax rates and data'!D9/12</f>
        <v>719</v>
      </c>
      <c r="D20" s="105"/>
      <c r="E20" s="106"/>
      <c r="F20" s="107"/>
    </row>
    <row r="21" spans="2:6" ht="15" x14ac:dyDescent="0.25">
      <c r="B21" s="104" t="s">
        <v>97</v>
      </c>
      <c r="C21" s="133">
        <f>-C20+D9</f>
        <v>0</v>
      </c>
      <c r="D21" s="105"/>
      <c r="E21" s="106"/>
      <c r="F21" s="121" t="str">
        <f>IF('Tax rates and data'!F23&gt;0,"","Contact us as this tax deduction may be too high")</f>
        <v/>
      </c>
    </row>
    <row r="22" spans="2:6" ht="15" x14ac:dyDescent="0.25">
      <c r="B22" s="115" t="s">
        <v>98</v>
      </c>
      <c r="C22" s="123">
        <f>SUM(C20:C21)</f>
        <v>719</v>
      </c>
      <c r="D22" s="105"/>
      <c r="E22" s="106"/>
      <c r="F22" s="121"/>
    </row>
    <row r="23" spans="2:6" ht="15" x14ac:dyDescent="0.25">
      <c r="B23" s="115" t="s">
        <v>107</v>
      </c>
      <c r="C23" s="134">
        <f>-'Cashflow summary'!D19/12</f>
        <v>2051.683</v>
      </c>
      <c r="D23" s="105"/>
      <c r="E23" s="106"/>
      <c r="F23" s="121"/>
    </row>
    <row r="24" spans="2:6" ht="15" x14ac:dyDescent="0.25">
      <c r="B24" s="115" t="s">
        <v>108</v>
      </c>
      <c r="C24" s="123">
        <f>SUM(C22:C23)</f>
        <v>2770.683</v>
      </c>
      <c r="D24" s="105"/>
      <c r="E24" s="106"/>
      <c r="F24" s="121"/>
    </row>
    <row r="25" spans="2:6" ht="15" x14ac:dyDescent="0.25">
      <c r="B25" s="104"/>
      <c r="C25" s="108"/>
      <c r="D25" s="116"/>
      <c r="E25" s="106"/>
      <c r="F25" s="122"/>
    </row>
    <row r="26" spans="2:6" ht="15" x14ac:dyDescent="0.25">
      <c r="B26" s="104" t="str">
        <f>IF(D14="Y","Spouse tax planning","  ")</f>
        <v xml:space="preserve">  </v>
      </c>
      <c r="C26" s="124" t="str">
        <f>IF(D14="Y",'Detailed calculations'!D37,"  ")</f>
        <v xml:space="preserve">  </v>
      </c>
      <c r="D26" s="105" t="str">
        <f>IF(D14="Y","is potential TAX saving","  ")</f>
        <v xml:space="preserve">  </v>
      </c>
      <c r="E26" s="106"/>
      <c r="F26" s="109" t="str">
        <f>IF(D14="Y","Contact us for advice on dividend set up and MCA transfer","  ")</f>
        <v xml:space="preserve">  </v>
      </c>
    </row>
    <row r="27" spans="2:6" ht="15.75" thickBot="1" x14ac:dyDescent="0.3">
      <c r="B27" s="110" t="str">
        <f>IF('Tax rates and data'!C18&gt;0,"Monthly Student loan"," ")</f>
        <v xml:space="preserve"> </v>
      </c>
      <c r="C27" s="125" t="str">
        <f>IF('Tax rates and data'!C18&gt;0,'Tax rates and data'!C18/12," ")</f>
        <v xml:space="preserve"> </v>
      </c>
      <c r="D27" s="111" t="str">
        <f>IF(D10="Y","NB student loan not included in % so need to pay from personal account","  ")</f>
        <v xml:space="preserve">  </v>
      </c>
      <c r="E27" s="112"/>
      <c r="F27" s="113"/>
    </row>
    <row r="28" spans="2:6" x14ac:dyDescent="0.2">
      <c r="B28" s="34"/>
      <c r="C28" s="94"/>
      <c r="D28" s="95"/>
      <c r="E28" s="34"/>
      <c r="F28" s="34"/>
    </row>
    <row r="29" spans="2:6" ht="13.5" customHeight="1" x14ac:dyDescent="0.2">
      <c r="B29" s="34"/>
      <c r="C29" s="94"/>
      <c r="D29" s="95"/>
      <c r="E29" s="34"/>
      <c r="F29" s="34"/>
    </row>
    <row r="30" spans="2:6" ht="13.5" customHeight="1" x14ac:dyDescent="0.3">
      <c r="B30" s="126"/>
      <c r="C30" s="46"/>
      <c r="D30" s="54"/>
      <c r="E30" s="18"/>
      <c r="F30" s="18"/>
    </row>
    <row r="31" spans="2:6" x14ac:dyDescent="0.2">
      <c r="B31" s="18"/>
      <c r="C31" s="27"/>
      <c r="D31" s="54"/>
      <c r="E31" s="18"/>
      <c r="F31" s="18"/>
    </row>
    <row r="32" spans="2:6" x14ac:dyDescent="0.2">
      <c r="B32" s="18"/>
      <c r="C32" s="27"/>
      <c r="D32" s="54"/>
      <c r="E32" s="18"/>
      <c r="F32" s="18"/>
    </row>
    <row r="33" spans="2:6" x14ac:dyDescent="0.2">
      <c r="B33" s="56"/>
      <c r="C33" s="114"/>
      <c r="D33" s="54"/>
      <c r="E33" s="18"/>
      <c r="F33" s="18"/>
    </row>
    <row r="34" spans="2:6" x14ac:dyDescent="0.2">
      <c r="B34" s="18"/>
      <c r="C34" s="27"/>
      <c r="D34" s="54"/>
      <c r="E34" s="18"/>
      <c r="F34" s="18"/>
    </row>
    <row r="35" spans="2:6" x14ac:dyDescent="0.2">
      <c r="B35" s="18"/>
      <c r="C35" s="27"/>
      <c r="D35" s="54"/>
      <c r="E35" s="18"/>
      <c r="F35" s="18"/>
    </row>
    <row r="36" spans="2:6" x14ac:dyDescent="0.2">
      <c r="B36" s="18"/>
      <c r="C36" s="27"/>
      <c r="D36" s="54"/>
      <c r="E36" s="93"/>
      <c r="F36" s="18"/>
    </row>
    <row r="37" spans="2:6" x14ac:dyDescent="0.2">
      <c r="B37" s="56"/>
      <c r="C37" s="114"/>
      <c r="D37" s="54"/>
      <c r="E37" s="18"/>
      <c r="F37" s="18"/>
    </row>
    <row r="38" spans="2:6" x14ac:dyDescent="0.2">
      <c r="B38" s="54"/>
      <c r="C38" s="98"/>
      <c r="D38" s="99"/>
      <c r="E38" s="18"/>
      <c r="F38" s="18"/>
    </row>
    <row r="39" spans="2:6" x14ac:dyDescent="0.2">
      <c r="B39" s="54"/>
      <c r="C39" s="98"/>
      <c r="D39" s="99"/>
      <c r="E39" s="18"/>
      <c r="F39" s="18"/>
    </row>
  </sheetData>
  <conditionalFormatting sqref="F13">
    <cfRule type="containsText" dxfId="3" priority="4" operator="containsText" text="Contact">
      <formula>NOT(ISERROR(SEARCH("Contact",F13)))</formula>
    </cfRule>
  </conditionalFormatting>
  <conditionalFormatting sqref="F26">
    <cfRule type="containsText" dxfId="2" priority="3" operator="containsText" text="Contact">
      <formula>NOT(ISERROR(SEARCH("Contact",F26)))</formula>
    </cfRule>
  </conditionalFormatting>
  <conditionalFormatting sqref="F21">
    <cfRule type="containsText" dxfId="1" priority="2" operator="containsText" text="Contact">
      <formula>NOT(ISERROR(SEARCH("Contact",F21)))</formula>
    </cfRule>
  </conditionalFormatting>
  <conditionalFormatting sqref="F12">
    <cfRule type="containsText" dxfId="0" priority="1" operator="containsText" text="Contact">
      <formula>NOT(ISERROR(SEARCH("Contact",F12)))</formula>
    </cfRule>
  </conditionalFormatting>
  <pageMargins left="0.7" right="0.7" top="0.75" bottom="0.75" header="0.3" footer="0.3"/>
  <pageSetup paperSize="9" scale="96" orientation="landscape" r:id="rId1"/>
  <ignoredErrors>
    <ignoredError sqref="C23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'Tax rates and data'!$D$8:$F$8</xm:f>
          </x14:formula1>
          <xm:sqref>D7</xm:sqref>
        </x14:dataValidation>
        <x14:dataValidation type="list" allowBlank="1" showInputMessage="1" showErrorMessage="1">
          <x14:formula1>
            <xm:f>'Tax rates and data'!$F$2:$H$2</xm:f>
          </x14:formula1>
          <xm:sqref>D10</xm:sqref>
        </x14:dataValidation>
        <x14:dataValidation type="list" allowBlank="1" showInputMessage="1" showErrorMessage="1">
          <x14:formula1>
            <xm:f>'Tax rates and data'!$G$3:$H$3</xm:f>
          </x14:formula1>
          <xm:sqref>D11:D12 D13 D14</xm:sqref>
        </x14:dataValidation>
        <x14:dataValidation type="list" allowBlank="1" showInputMessage="1" showErrorMessage="1">
          <x14:formula1>
            <xm:f>'Tax rates and data'!$B$5:$B$11</xm:f>
          </x14:formula1>
          <xm:sqref>D15:D16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6" sqref="C16"/>
    </sheetView>
  </sheetViews>
  <sheetFormatPr defaultRowHeight="12.75" x14ac:dyDescent="0.2"/>
  <cols>
    <col min="1" max="1" width="42" customWidth="1"/>
    <col min="2" max="2" width="9.6640625" customWidth="1"/>
    <col min="3" max="3" width="10.5" customWidth="1"/>
    <col min="4" max="4" width="14.33203125" style="1" customWidth="1"/>
    <col min="5" max="5" width="5" style="1" customWidth="1"/>
    <col min="6" max="6" width="13.33203125" style="1" customWidth="1"/>
    <col min="7" max="7" width="3.33203125" customWidth="1"/>
  </cols>
  <sheetData>
    <row r="1" spans="1:10" ht="14.25" x14ac:dyDescent="0.2">
      <c r="A1" s="2" t="str">
        <f>'New info in'!D3</f>
        <v>Client</v>
      </c>
    </row>
    <row r="2" spans="1:10" x14ac:dyDescent="0.2">
      <c r="A2" s="3" t="s">
        <v>27</v>
      </c>
      <c r="D2" s="4" t="s">
        <v>0</v>
      </c>
      <c r="E2" s="4"/>
      <c r="F2" s="4" t="s">
        <v>0</v>
      </c>
    </row>
    <row r="3" spans="1:10" x14ac:dyDescent="0.2">
      <c r="C3" s="5" t="s">
        <v>1</v>
      </c>
      <c r="D3" s="4" t="s">
        <v>2</v>
      </c>
      <c r="E3" s="4"/>
      <c r="F3" s="4" t="s">
        <v>3</v>
      </c>
    </row>
    <row r="4" spans="1:10" x14ac:dyDescent="0.2">
      <c r="D4" s="6" t="s">
        <v>4</v>
      </c>
      <c r="E4" s="6"/>
      <c r="F4" s="6" t="s">
        <v>4</v>
      </c>
    </row>
    <row r="5" spans="1:10" x14ac:dyDescent="0.2">
      <c r="A5" t="s">
        <v>36</v>
      </c>
      <c r="B5" s="7">
        <f>'New info in'!D4</f>
        <v>200</v>
      </c>
      <c r="D5" s="8">
        <f>B5*5*'New info in'!D5</f>
        <v>46000</v>
      </c>
      <c r="E5" s="8"/>
      <c r="F5" s="8"/>
    </row>
    <row r="6" spans="1:10" x14ac:dyDescent="0.2">
      <c r="A6" t="s">
        <v>32</v>
      </c>
      <c r="C6" s="9">
        <f>'Detailed calculations'!H8</f>
        <v>0.1663435652173913</v>
      </c>
      <c r="D6" s="39">
        <f>-D5*C6</f>
        <v>-7651.8040000000001</v>
      </c>
      <c r="E6" s="8"/>
      <c r="F6" s="10">
        <f>-D6</f>
        <v>7651.8040000000001</v>
      </c>
      <c r="J6" t="s">
        <v>5</v>
      </c>
    </row>
    <row r="7" spans="1:10" ht="13.5" thickBot="1" x14ac:dyDescent="0.25">
      <c r="A7" t="s">
        <v>6</v>
      </c>
      <c r="C7" s="9">
        <f>D7/D5</f>
        <v>0.83365643478260865</v>
      </c>
      <c r="D7" s="26">
        <f>SUM(D5:D6)</f>
        <v>38348.195999999996</v>
      </c>
      <c r="E7" s="8"/>
      <c r="F7" s="8">
        <f>SUM(F6:F6)</f>
        <v>7651.8040000000001</v>
      </c>
    </row>
    <row r="8" spans="1:10" ht="13.5" thickTop="1" x14ac:dyDescent="0.2">
      <c r="A8" t="s">
        <v>7</v>
      </c>
      <c r="D8" s="8"/>
      <c r="E8" s="8"/>
      <c r="F8" s="10">
        <f>'Detailed calculations'!D11</f>
        <v>-6131.68</v>
      </c>
    </row>
    <row r="9" spans="1:10" x14ac:dyDescent="0.2">
      <c r="D9" s="8"/>
      <c r="E9" s="8"/>
      <c r="F9" s="8">
        <f>SUM(F7:F8)</f>
        <v>1520.1239999999998</v>
      </c>
    </row>
    <row r="10" spans="1:10" x14ac:dyDescent="0.2">
      <c r="A10" t="s">
        <v>46</v>
      </c>
      <c r="D10" s="8"/>
      <c r="E10" s="8"/>
      <c r="F10" s="8">
        <f>-'Detailed calculations'!D22</f>
        <v>0</v>
      </c>
    </row>
    <row r="11" spans="1:10" x14ac:dyDescent="0.2">
      <c r="A11" t="s">
        <v>47</v>
      </c>
      <c r="D11" s="8"/>
      <c r="E11" s="8"/>
      <c r="F11" s="39">
        <f>-'Detailed calculations'!D24</f>
        <v>-1520.124</v>
      </c>
    </row>
    <row r="12" spans="1:10" ht="13.5" thickBot="1" x14ac:dyDescent="0.25">
      <c r="D12" s="8"/>
      <c r="E12" s="8"/>
      <c r="F12" s="26">
        <f>SUM(F9:F11)</f>
        <v>0</v>
      </c>
    </row>
    <row r="13" spans="1:10" ht="13.5" thickTop="1" x14ac:dyDescent="0.2">
      <c r="D13" s="39"/>
      <c r="E13" s="8"/>
      <c r="F13" s="8"/>
    </row>
    <row r="14" spans="1:10" x14ac:dyDescent="0.2">
      <c r="A14" s="3" t="s">
        <v>26</v>
      </c>
      <c r="D14" s="39"/>
      <c r="E14" s="8"/>
      <c r="F14" s="8"/>
    </row>
    <row r="15" spans="1:10" x14ac:dyDescent="0.2">
      <c r="A15" t="s">
        <v>76</v>
      </c>
      <c r="D15" s="39">
        <f>D7</f>
        <v>38348.195999999996</v>
      </c>
      <c r="E15" s="8"/>
      <c r="F15" s="8"/>
    </row>
    <row r="16" spans="1:10" x14ac:dyDescent="0.2">
      <c r="A16" t="s">
        <v>106</v>
      </c>
      <c r="C16" s="8">
        <f>-'Detailed calculations'!D9</f>
        <v>8628</v>
      </c>
      <c r="E16" s="8"/>
      <c r="F16" s="8"/>
    </row>
    <row r="17" spans="1:7" x14ac:dyDescent="0.2">
      <c r="A17" t="s">
        <v>105</v>
      </c>
      <c r="C17" s="118">
        <f>'New info in'!C21*12</f>
        <v>0</v>
      </c>
      <c r="D17" s="8"/>
      <c r="E17" s="8"/>
      <c r="F17" s="8"/>
    </row>
    <row r="18" spans="1:7" x14ac:dyDescent="0.2">
      <c r="A18" t="s">
        <v>104</v>
      </c>
      <c r="D18" s="8">
        <f>-SUM(C16:C17)</f>
        <v>-8628</v>
      </c>
      <c r="E18" s="8"/>
      <c r="F18" s="8"/>
    </row>
    <row r="19" spans="1:7" x14ac:dyDescent="0.2">
      <c r="A19" t="s">
        <v>37</v>
      </c>
      <c r="D19" s="58">
        <f>-'Detailed calculations'!D16+'Detailed calculations'!D25+C17</f>
        <v>-24620.196</v>
      </c>
      <c r="E19" s="8"/>
      <c r="F19" s="8"/>
      <c r="G19" s="8"/>
    </row>
    <row r="20" spans="1:7" x14ac:dyDescent="0.2">
      <c r="A20" t="s">
        <v>33</v>
      </c>
      <c r="D20" s="8">
        <f>SUM('Detailed calculations'!D6:D7)</f>
        <v>-5100</v>
      </c>
      <c r="E20" s="8"/>
      <c r="F20" s="8"/>
      <c r="G20" s="8"/>
    </row>
    <row r="21" spans="1:7" ht="13.5" thickBot="1" x14ac:dyDescent="0.25">
      <c r="A21" t="s">
        <v>31</v>
      </c>
      <c r="D21" s="41">
        <f>SUM(D15:D20)</f>
        <v>0</v>
      </c>
      <c r="E21" s="8"/>
      <c r="F21" s="8"/>
    </row>
    <row r="22" spans="1:7" ht="13.5" thickTop="1" x14ac:dyDescent="0.2">
      <c r="D22" s="40"/>
      <c r="E22" s="8"/>
      <c r="F22" s="8"/>
    </row>
    <row r="23" spans="1:7" x14ac:dyDescent="0.2">
      <c r="A23" t="str">
        <f>IF('New info in'!D10="Y","Student loan repayment"," ")</f>
        <v xml:space="preserve"> </v>
      </c>
      <c r="D23" s="92" t="str">
        <f>IF('New info in'!D10="Y",'Detailed calculations'!D29," ")</f>
        <v xml:space="preserve"> </v>
      </c>
    </row>
    <row r="24" spans="1:7" x14ac:dyDescent="0.2">
      <c r="D24" s="9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workbookViewId="0">
      <selection activeCell="D19" sqref="D19"/>
    </sheetView>
  </sheetViews>
  <sheetFormatPr defaultRowHeight="12.75" x14ac:dyDescent="0.2"/>
  <cols>
    <col min="1" max="1" width="1.83203125" customWidth="1"/>
    <col min="2" max="2" width="56.5" customWidth="1"/>
    <col min="3" max="3" width="10.83203125" customWidth="1"/>
    <col min="4" max="4" width="14.1640625" style="21" customWidth="1"/>
    <col min="5" max="5" width="2.83203125" style="11" customWidth="1"/>
    <col min="6" max="6" width="2.1640625" style="11" customWidth="1"/>
    <col min="11" max="11" width="12" customWidth="1"/>
  </cols>
  <sheetData>
    <row r="1" spans="2:12" ht="4.5" customHeight="1" thickBot="1" x14ac:dyDescent="0.25"/>
    <row r="2" spans="2:12" x14ac:dyDescent="0.2">
      <c r="B2" s="44" t="s">
        <v>71</v>
      </c>
      <c r="C2" s="16"/>
      <c r="D2" s="67" t="s">
        <v>9</v>
      </c>
      <c r="E2" s="68"/>
      <c r="F2" s="12"/>
      <c r="G2" s="77" t="s">
        <v>72</v>
      </c>
      <c r="H2" s="62"/>
      <c r="I2" s="62"/>
      <c r="J2" s="62"/>
      <c r="K2" s="62"/>
      <c r="L2" s="65"/>
    </row>
    <row r="3" spans="2:12" x14ac:dyDescent="0.2">
      <c r="B3" s="78"/>
      <c r="C3" s="42"/>
      <c r="D3" s="79" t="s">
        <v>10</v>
      </c>
      <c r="E3" s="80"/>
      <c r="F3" s="12"/>
      <c r="G3" s="57" t="s">
        <v>29</v>
      </c>
      <c r="H3" s="18"/>
      <c r="I3" s="18"/>
      <c r="J3" s="18"/>
      <c r="K3" s="37">
        <f>D25</f>
        <v>1520.124</v>
      </c>
      <c r="L3" s="49"/>
    </row>
    <row r="4" spans="2:12" x14ac:dyDescent="0.2">
      <c r="B4" s="45"/>
      <c r="C4" s="18"/>
      <c r="D4" s="70" t="s">
        <v>4</v>
      </c>
      <c r="E4" s="69"/>
      <c r="F4" s="12"/>
      <c r="G4" s="57" t="s">
        <v>51</v>
      </c>
      <c r="H4" s="18"/>
      <c r="I4" s="18"/>
      <c r="J4" s="18"/>
      <c r="K4" s="37">
        <f>-D11</f>
        <v>6131.68</v>
      </c>
      <c r="L4" s="49"/>
    </row>
    <row r="5" spans="2:12" x14ac:dyDescent="0.2">
      <c r="B5" s="57" t="s">
        <v>70</v>
      </c>
      <c r="C5" s="34"/>
      <c r="D5" s="31">
        <f>'Cashflow summary'!D5</f>
        <v>46000</v>
      </c>
      <c r="E5" s="71"/>
      <c r="F5" s="13"/>
      <c r="G5" s="47"/>
      <c r="H5" s="18"/>
      <c r="I5" s="18"/>
      <c r="J5" s="18"/>
      <c r="K5" s="38"/>
      <c r="L5" s="49"/>
    </row>
    <row r="6" spans="2:12" x14ac:dyDescent="0.2">
      <c r="B6" s="57" t="s">
        <v>48</v>
      </c>
      <c r="C6" s="34"/>
      <c r="D6" s="31">
        <f>-'Tax rates and data'!H8-'New info in'!D6</f>
        <v>-3800</v>
      </c>
      <c r="E6" s="71"/>
      <c r="F6" s="13"/>
      <c r="G6" s="47" t="s">
        <v>78</v>
      </c>
      <c r="H6" s="18"/>
      <c r="I6" s="18"/>
      <c r="J6" s="18"/>
      <c r="K6" s="66">
        <f>SUM(K3:K5)</f>
        <v>7651.8040000000001</v>
      </c>
      <c r="L6" s="49"/>
    </row>
    <row r="7" spans="2:12" x14ac:dyDescent="0.2">
      <c r="B7" s="57" t="s">
        <v>49</v>
      </c>
      <c r="C7" s="34"/>
      <c r="D7" s="30">
        <f>-'New info in'!D8</f>
        <v>-1300</v>
      </c>
      <c r="E7" s="71"/>
      <c r="F7" s="13"/>
      <c r="G7" s="47"/>
      <c r="H7" s="18"/>
      <c r="I7" s="18"/>
      <c r="J7" s="18"/>
      <c r="K7" s="18"/>
      <c r="L7" s="49"/>
    </row>
    <row r="8" spans="2:12" x14ac:dyDescent="0.2">
      <c r="B8" s="57"/>
      <c r="C8" s="34"/>
      <c r="D8" s="31">
        <f>SUM(D5:D7)</f>
        <v>40900</v>
      </c>
      <c r="E8" s="71"/>
      <c r="F8" s="13"/>
      <c r="G8" s="47" t="s">
        <v>44</v>
      </c>
      <c r="H8" s="76">
        <f>(K5+K3+K4)/D5</f>
        <v>0.1663435652173913</v>
      </c>
      <c r="I8" s="18" t="s">
        <v>52</v>
      </c>
      <c r="J8" s="18"/>
      <c r="K8" s="66">
        <f>D5</f>
        <v>46000</v>
      </c>
      <c r="L8" s="49"/>
    </row>
    <row r="9" spans="2:12" x14ac:dyDescent="0.2">
      <c r="B9" s="57" t="s">
        <v>50</v>
      </c>
      <c r="C9" s="34"/>
      <c r="D9" s="15">
        <v>-8628</v>
      </c>
      <c r="E9" s="71"/>
      <c r="F9" s="13"/>
      <c r="G9" s="47"/>
      <c r="H9" s="18"/>
      <c r="I9" s="18"/>
      <c r="J9" s="18"/>
      <c r="K9" s="18"/>
      <c r="L9" s="49"/>
    </row>
    <row r="10" spans="2:12" x14ac:dyDescent="0.2">
      <c r="B10" s="57" t="s">
        <v>39</v>
      </c>
      <c r="C10" s="34"/>
      <c r="D10" s="31">
        <f>IF(D8&gt;8628,SUM(D8:D9),0)</f>
        <v>32272</v>
      </c>
      <c r="E10" s="71"/>
      <c r="F10" s="13"/>
      <c r="G10" s="47"/>
      <c r="H10" s="18"/>
      <c r="I10" s="18"/>
      <c r="J10" s="18"/>
      <c r="K10" s="18"/>
      <c r="L10" s="49"/>
    </row>
    <row r="11" spans="2:12" x14ac:dyDescent="0.2">
      <c r="B11" s="57" t="s">
        <v>79</v>
      </c>
      <c r="C11" s="34"/>
      <c r="D11" s="15">
        <f>-D10*0.19</f>
        <v>-6131.68</v>
      </c>
      <c r="E11" s="71"/>
      <c r="F11" s="13"/>
      <c r="G11" s="47"/>
      <c r="H11" s="18"/>
      <c r="I11" s="18"/>
      <c r="J11" s="18"/>
      <c r="K11" s="18"/>
      <c r="L11" s="49"/>
    </row>
    <row r="12" spans="2:12" ht="13.5" thickBot="1" x14ac:dyDescent="0.25">
      <c r="B12" s="57" t="s">
        <v>30</v>
      </c>
      <c r="C12" s="34"/>
      <c r="D12" s="24">
        <f>SUM(D10:D11)</f>
        <v>26140.32</v>
      </c>
      <c r="E12" s="71"/>
      <c r="F12" s="13"/>
      <c r="G12" s="47"/>
      <c r="H12" s="18"/>
      <c r="I12" s="18"/>
      <c r="J12" s="18"/>
      <c r="K12" s="18"/>
      <c r="L12" s="49"/>
    </row>
    <row r="13" spans="2:12" ht="6.75" customHeight="1" thickTop="1" thickBot="1" x14ac:dyDescent="0.25">
      <c r="B13" s="72" t="s">
        <v>5</v>
      </c>
      <c r="C13" s="73" t="s">
        <v>5</v>
      </c>
      <c r="D13" s="74" t="s">
        <v>5</v>
      </c>
      <c r="E13" s="75"/>
      <c r="F13" s="13"/>
      <c r="G13" s="52"/>
      <c r="H13" s="19"/>
      <c r="I13" s="19"/>
      <c r="J13" s="19"/>
      <c r="K13" s="19"/>
      <c r="L13" s="20"/>
    </row>
    <row r="14" spans="2:12" ht="13.5" customHeight="1" thickBot="1" x14ac:dyDescent="0.25">
      <c r="B14" s="29"/>
      <c r="C14" s="14"/>
      <c r="D14" s="22"/>
      <c r="E14" s="13"/>
      <c r="F14" s="13"/>
    </row>
    <row r="15" spans="2:12" x14ac:dyDescent="0.2">
      <c r="B15" s="83" t="s">
        <v>11</v>
      </c>
      <c r="C15" s="84"/>
      <c r="D15" s="85"/>
      <c r="E15" s="86"/>
      <c r="F15" s="13"/>
      <c r="G15" s="127"/>
      <c r="H15" s="34"/>
      <c r="I15" s="31"/>
      <c r="J15" s="37"/>
      <c r="K15" s="18"/>
      <c r="L15" s="18"/>
    </row>
    <row r="16" spans="2:12" x14ac:dyDescent="0.2">
      <c r="B16" s="57" t="s">
        <v>81</v>
      </c>
      <c r="C16" s="34"/>
      <c r="D16" s="81">
        <f>IF('New info in'!D11="Y",D27,D12)</f>
        <v>26140.32</v>
      </c>
      <c r="E16" s="82"/>
      <c r="F16" s="13"/>
      <c r="G16" s="34"/>
      <c r="H16" s="34"/>
      <c r="I16" s="18"/>
      <c r="J16" s="37"/>
      <c r="K16" s="31"/>
      <c r="L16" s="18"/>
    </row>
    <row r="17" spans="2:13" x14ac:dyDescent="0.2">
      <c r="B17" s="57" t="s">
        <v>8</v>
      </c>
      <c r="C17" s="34"/>
      <c r="D17" s="23">
        <f>-D9</f>
        <v>8628</v>
      </c>
      <c r="E17" s="82"/>
      <c r="F17" s="13"/>
      <c r="G17" s="34"/>
      <c r="H17" s="34"/>
      <c r="I17" s="18"/>
      <c r="J17" s="37"/>
      <c r="K17" s="31"/>
      <c r="L17" s="18"/>
    </row>
    <row r="18" spans="2:13" x14ac:dyDescent="0.2">
      <c r="B18" s="57" t="s">
        <v>12</v>
      </c>
      <c r="C18" s="34"/>
      <c r="D18" s="81">
        <f>SUM(D16:D17)</f>
        <v>34768.32</v>
      </c>
      <c r="E18" s="82"/>
      <c r="F18" s="13"/>
      <c r="G18" s="34"/>
      <c r="H18" s="34"/>
      <c r="I18" s="18"/>
      <c r="J18" s="37"/>
      <c r="K18" s="31"/>
      <c r="L18" s="18"/>
    </row>
    <row r="19" spans="2:13" x14ac:dyDescent="0.2">
      <c r="B19" s="57" t="s">
        <v>13</v>
      </c>
      <c r="C19" s="34"/>
      <c r="D19" s="15">
        <v>-12500</v>
      </c>
      <c r="E19" s="82"/>
      <c r="F19" s="13"/>
      <c r="G19" s="34"/>
      <c r="H19" s="34"/>
      <c r="I19" s="18"/>
      <c r="J19" s="37"/>
      <c r="K19" s="31"/>
      <c r="L19" s="18"/>
    </row>
    <row r="20" spans="2:13" x14ac:dyDescent="0.2">
      <c r="B20" s="57" t="s">
        <v>14</v>
      </c>
      <c r="C20" s="34"/>
      <c r="D20" s="81">
        <f>IF(D18&gt;12500,SUM(D18:D19),0)</f>
        <v>22268.32</v>
      </c>
      <c r="E20" s="82"/>
      <c r="F20" s="32"/>
      <c r="G20" s="18"/>
      <c r="H20" s="18"/>
      <c r="I20" s="18"/>
      <c r="J20" s="18"/>
      <c r="K20" s="18"/>
      <c r="L20" s="18"/>
    </row>
    <row r="21" spans="2:13" x14ac:dyDescent="0.2">
      <c r="B21" s="57"/>
      <c r="C21" s="34"/>
      <c r="D21" s="81"/>
      <c r="E21" s="82"/>
      <c r="F21" s="32"/>
      <c r="G21" s="18"/>
      <c r="H21" s="18"/>
      <c r="I21" s="18"/>
      <c r="J21" s="18"/>
      <c r="K21" s="18"/>
      <c r="L21" s="18"/>
    </row>
    <row r="22" spans="2:13" x14ac:dyDescent="0.2">
      <c r="B22" s="57" t="s">
        <v>15</v>
      </c>
      <c r="C22" s="34"/>
      <c r="D22" s="31">
        <f>IF(D16&gt;41372,(D16-41372)*0.25,0)</f>
        <v>0</v>
      </c>
      <c r="E22" s="82"/>
      <c r="F22" s="32"/>
      <c r="G22" s="56"/>
      <c r="H22" s="18"/>
      <c r="I22" s="18"/>
      <c r="J22" s="18"/>
      <c r="K22" s="18"/>
      <c r="L22" s="18"/>
      <c r="M22" s="18"/>
    </row>
    <row r="23" spans="2:13" x14ac:dyDescent="0.2">
      <c r="B23" s="57" t="s">
        <v>28</v>
      </c>
      <c r="C23" s="36">
        <f>12500-D17</f>
        <v>3872</v>
      </c>
      <c r="D23" s="81">
        <f>C23*0</f>
        <v>0</v>
      </c>
      <c r="E23" s="82"/>
      <c r="F23" s="32"/>
      <c r="L23" s="18"/>
      <c r="M23" s="18"/>
    </row>
    <row r="24" spans="2:13" x14ac:dyDescent="0.2">
      <c r="B24" s="57" t="s">
        <v>114</v>
      </c>
      <c r="C24" s="36">
        <f>IF(D20&gt;2000,D16-2000-C23,0)</f>
        <v>20268.32</v>
      </c>
      <c r="D24" s="81">
        <f>C24*0.075</f>
        <v>1520.124</v>
      </c>
      <c r="E24" s="82"/>
      <c r="F24" s="32"/>
      <c r="L24" s="18"/>
      <c r="M24" s="18"/>
    </row>
    <row r="25" spans="2:13" ht="13.5" thickBot="1" x14ac:dyDescent="0.25">
      <c r="B25" s="57" t="s">
        <v>23</v>
      </c>
      <c r="C25" s="36"/>
      <c r="D25" s="33">
        <f>SUM(D22:D24)</f>
        <v>1520.124</v>
      </c>
      <c r="E25" s="82"/>
      <c r="F25" s="32"/>
      <c r="L25" s="18"/>
      <c r="M25" s="18"/>
    </row>
    <row r="26" spans="2:13" ht="13.5" thickTop="1" x14ac:dyDescent="0.2">
      <c r="B26" s="57" t="s">
        <v>59</v>
      </c>
      <c r="C26" s="36"/>
      <c r="D26" s="81">
        <f>D12</f>
        <v>26140.32</v>
      </c>
      <c r="E26" s="82"/>
      <c r="F26" s="32"/>
      <c r="L26" s="18"/>
      <c r="M26" s="18"/>
    </row>
    <row r="27" spans="2:13" x14ac:dyDescent="0.2">
      <c r="B27" s="57" t="s">
        <v>57</v>
      </c>
      <c r="C27" s="34"/>
      <c r="D27" s="81">
        <f>IF(D12&gt;41372,41372,D12)</f>
        <v>26140.32</v>
      </c>
      <c r="E27" s="82"/>
      <c r="F27" s="32"/>
      <c r="G27" s="18"/>
      <c r="H27" s="18"/>
      <c r="I27" s="18"/>
      <c r="J27" s="18"/>
      <c r="K27" s="18"/>
      <c r="L27" s="18"/>
      <c r="M27" s="18"/>
    </row>
    <row r="28" spans="2:13" x14ac:dyDescent="0.2">
      <c r="B28" s="57"/>
      <c r="C28" s="34"/>
      <c r="D28" s="35"/>
      <c r="E28" s="82"/>
      <c r="F28" s="32"/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88" t="s">
        <v>90</v>
      </c>
      <c r="C29" s="89"/>
      <c r="D29" s="90">
        <f>'Tax rates and data'!C18</f>
        <v>0</v>
      </c>
      <c r="E29" s="91"/>
      <c r="F29" s="32"/>
      <c r="G29" s="18"/>
      <c r="H29" s="18"/>
      <c r="I29" s="18"/>
      <c r="J29" s="18"/>
      <c r="K29" s="18"/>
      <c r="L29" s="18"/>
      <c r="M29" s="18"/>
    </row>
    <row r="30" spans="2:13" ht="13.5" thickBot="1" x14ac:dyDescent="0.25">
      <c r="B30" s="18"/>
      <c r="C30" s="18"/>
      <c r="D30" s="27"/>
      <c r="E30" s="28"/>
      <c r="F30" s="32"/>
      <c r="G30" s="18"/>
      <c r="H30" s="18"/>
      <c r="I30" s="18"/>
      <c r="J30" s="18"/>
      <c r="K30" s="18"/>
      <c r="L30" s="18"/>
      <c r="M30" s="18"/>
    </row>
    <row r="31" spans="2:13" x14ac:dyDescent="0.2">
      <c r="B31" s="59" t="s">
        <v>62</v>
      </c>
      <c r="C31" s="60"/>
      <c r="D31" s="64"/>
      <c r="E31" s="62"/>
      <c r="F31" s="62"/>
      <c r="G31" s="62"/>
      <c r="H31" s="62"/>
      <c r="I31" s="62"/>
      <c r="J31" s="62"/>
      <c r="K31" s="62"/>
      <c r="L31" s="65"/>
    </row>
    <row r="32" spans="2:13" x14ac:dyDescent="0.2">
      <c r="B32" s="47" t="s">
        <v>68</v>
      </c>
      <c r="C32" s="46"/>
      <c r="D32" s="96">
        <v>0</v>
      </c>
      <c r="E32" s="18"/>
      <c r="F32" s="18" t="s">
        <v>61</v>
      </c>
      <c r="G32" s="18"/>
      <c r="H32" s="18"/>
      <c r="I32" s="18"/>
      <c r="J32" s="18"/>
      <c r="K32" s="18"/>
      <c r="L32" s="49"/>
    </row>
    <row r="33" spans="2:12" x14ac:dyDescent="0.2">
      <c r="B33" s="47" t="s">
        <v>63</v>
      </c>
      <c r="C33" s="46"/>
      <c r="D33" s="128">
        <v>2000</v>
      </c>
      <c r="E33" s="18"/>
      <c r="F33" s="18" t="s">
        <v>88</v>
      </c>
      <c r="G33" s="18"/>
      <c r="H33" s="18"/>
      <c r="I33" s="18"/>
      <c r="J33" s="18"/>
      <c r="K33" s="18"/>
      <c r="L33" s="49"/>
    </row>
    <row r="34" spans="2:12" ht="13.5" thickBot="1" x14ac:dyDescent="0.25">
      <c r="B34" s="47"/>
      <c r="C34" s="46"/>
      <c r="D34" s="117">
        <f>SUM(D32:D33)</f>
        <v>2000</v>
      </c>
      <c r="E34" s="18"/>
      <c r="F34" s="18" t="s">
        <v>118</v>
      </c>
      <c r="G34" s="18"/>
      <c r="H34" s="18"/>
      <c r="I34" s="18"/>
      <c r="J34" s="18"/>
      <c r="K34" s="18"/>
      <c r="L34" s="49"/>
    </row>
    <row r="35" spans="2:12" ht="13.5" thickTop="1" x14ac:dyDescent="0.2">
      <c r="B35" s="47" t="s">
        <v>66</v>
      </c>
      <c r="C35" s="18"/>
      <c r="D35" s="101">
        <v>150</v>
      </c>
      <c r="E35" s="18"/>
      <c r="F35" s="28"/>
      <c r="G35" s="18"/>
      <c r="H35" s="18"/>
      <c r="I35" s="18"/>
      <c r="J35" s="18"/>
      <c r="K35" s="18"/>
      <c r="L35" s="49"/>
    </row>
    <row r="36" spans="2:12" x14ac:dyDescent="0.2">
      <c r="B36" s="47" t="s">
        <v>67</v>
      </c>
      <c r="C36" s="18"/>
      <c r="D36" s="118">
        <f>IF(D22&lt;9481,D22,9481)</f>
        <v>0</v>
      </c>
      <c r="E36" s="18"/>
      <c r="F36" s="28"/>
      <c r="G36" s="18"/>
      <c r="H36" s="18"/>
      <c r="I36" s="18"/>
      <c r="J36" s="18"/>
      <c r="K36" s="18"/>
      <c r="L36" s="49"/>
    </row>
    <row r="37" spans="2:12" ht="13.5" thickBot="1" x14ac:dyDescent="0.25">
      <c r="B37" s="100" t="s">
        <v>73</v>
      </c>
      <c r="C37" s="119"/>
      <c r="D37" s="120">
        <f>SUM(D35:D36)</f>
        <v>150</v>
      </c>
      <c r="E37" s="19"/>
      <c r="F37" s="103"/>
      <c r="G37" s="19"/>
      <c r="H37" s="19"/>
      <c r="I37" s="19"/>
      <c r="J37" s="19"/>
      <c r="K37" s="19"/>
      <c r="L37" s="20"/>
    </row>
  </sheetData>
  <sheetProtection selectLockedCells="1" selectUnlockedCells="1"/>
  <dataValidations count="1">
    <dataValidation type="whole" allowBlank="1" showInputMessage="1" showErrorMessage="1" error="Income can only be between £0 and £43,000 for tax planning to work." sqref="D32">
      <formula1>0</formula1>
      <formula2>43000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F14" sqref="F14"/>
    </sheetView>
  </sheetViews>
  <sheetFormatPr defaultRowHeight="12.75" x14ac:dyDescent="0.2"/>
  <cols>
    <col min="2" max="2" width="13.83203125" customWidth="1"/>
    <col min="3" max="3" width="15.1640625" customWidth="1"/>
    <col min="4" max="4" width="12.5" customWidth="1"/>
    <col min="5" max="5" width="11.5" customWidth="1"/>
    <col min="6" max="6" width="13.5" bestFit="1" customWidth="1"/>
    <col min="7" max="7" width="13.5" customWidth="1"/>
    <col min="8" max="8" width="14.33203125" customWidth="1"/>
  </cols>
  <sheetData>
    <row r="1" spans="2:8" ht="13.5" thickBot="1" x14ac:dyDescent="0.25"/>
    <row r="2" spans="2:8" x14ac:dyDescent="0.2">
      <c r="B2" s="44" t="s">
        <v>93</v>
      </c>
      <c r="C2" s="16"/>
      <c r="D2" s="16"/>
      <c r="E2" s="16"/>
      <c r="F2" s="16" t="s">
        <v>82</v>
      </c>
      <c r="G2" s="16" t="s">
        <v>83</v>
      </c>
      <c r="H2" s="17" t="s">
        <v>21</v>
      </c>
    </row>
    <row r="3" spans="2:8" x14ac:dyDescent="0.2">
      <c r="B3" s="57"/>
      <c r="C3" s="18"/>
      <c r="D3" s="18"/>
      <c r="E3" s="18"/>
      <c r="F3" s="18"/>
      <c r="G3" s="18" t="s">
        <v>40</v>
      </c>
      <c r="H3" s="49" t="s">
        <v>21</v>
      </c>
    </row>
    <row r="4" spans="2:8" x14ac:dyDescent="0.2">
      <c r="B4" s="57"/>
      <c r="C4" s="18"/>
      <c r="D4" s="18"/>
      <c r="E4" s="18"/>
      <c r="F4" s="18"/>
      <c r="G4" s="18"/>
      <c r="H4" s="49"/>
    </row>
    <row r="5" spans="2:8" x14ac:dyDescent="0.2">
      <c r="B5" s="47"/>
      <c r="C5" s="18"/>
      <c r="D5" s="18"/>
      <c r="E5" s="18"/>
      <c r="F5" s="18"/>
      <c r="G5" s="18"/>
      <c r="H5" s="49"/>
    </row>
    <row r="6" spans="2:8" x14ac:dyDescent="0.2">
      <c r="B6" s="45" t="s">
        <v>45</v>
      </c>
      <c r="C6" s="18"/>
      <c r="D6" s="18"/>
      <c r="E6" s="18"/>
      <c r="F6" s="54" t="s">
        <v>91</v>
      </c>
      <c r="G6" s="54" t="s">
        <v>92</v>
      </c>
      <c r="H6" s="49"/>
    </row>
    <row r="7" spans="2:8" x14ac:dyDescent="0.2">
      <c r="B7" s="47" t="s">
        <v>117</v>
      </c>
      <c r="C7" s="18"/>
      <c r="D7" s="18"/>
      <c r="E7" s="18"/>
      <c r="F7" s="34">
        <v>18935</v>
      </c>
      <c r="G7" s="34">
        <v>25725</v>
      </c>
      <c r="H7" s="49"/>
    </row>
    <row r="8" spans="2:8" x14ac:dyDescent="0.2">
      <c r="B8" s="47" t="s">
        <v>53</v>
      </c>
      <c r="C8" s="18"/>
      <c r="D8" s="18">
        <v>10</v>
      </c>
      <c r="E8" s="34">
        <v>5</v>
      </c>
      <c r="F8" s="34">
        <v>0</v>
      </c>
      <c r="G8" s="34"/>
      <c r="H8" s="49">
        <f>'New info in'!D7*'New info in'!D5*5</f>
        <v>2300</v>
      </c>
    </row>
    <row r="9" spans="2:8" x14ac:dyDescent="0.2">
      <c r="B9" s="47" t="s">
        <v>56</v>
      </c>
      <c r="C9" s="18"/>
      <c r="D9" s="18">
        <v>8628</v>
      </c>
      <c r="E9" s="18"/>
      <c r="F9" s="18"/>
      <c r="G9" s="18"/>
      <c r="H9" s="49"/>
    </row>
    <row r="10" spans="2:8" x14ac:dyDescent="0.2">
      <c r="B10" s="47" t="s">
        <v>58</v>
      </c>
      <c r="C10" s="18"/>
      <c r="D10" s="18">
        <v>41372</v>
      </c>
      <c r="E10" s="18"/>
      <c r="F10" s="18"/>
      <c r="G10" s="18"/>
      <c r="H10" s="49"/>
    </row>
    <row r="11" spans="2:8" ht="13.5" thickBot="1" x14ac:dyDescent="0.25">
      <c r="B11" s="52" t="s">
        <v>64</v>
      </c>
      <c r="C11" s="19"/>
      <c r="D11" s="102">
        <v>2000</v>
      </c>
      <c r="E11" s="19"/>
      <c r="F11" s="19"/>
      <c r="G11" s="102"/>
      <c r="H11" s="20"/>
    </row>
    <row r="12" spans="2:8" ht="13.5" thickBot="1" x14ac:dyDescent="0.25"/>
    <row r="13" spans="2:8" x14ac:dyDescent="0.2">
      <c r="B13" s="44" t="s">
        <v>84</v>
      </c>
      <c r="C13" s="16"/>
      <c r="D13" s="16"/>
      <c r="E13" s="16"/>
      <c r="F13" s="131" t="s">
        <v>82</v>
      </c>
      <c r="G13" s="131" t="s">
        <v>83</v>
      </c>
      <c r="H13" s="130"/>
    </row>
    <row r="14" spans="2:8" x14ac:dyDescent="0.2">
      <c r="B14" s="47" t="s">
        <v>117</v>
      </c>
      <c r="C14" s="18"/>
      <c r="D14" s="18"/>
      <c r="E14" s="18"/>
      <c r="F14" s="129">
        <v>18935</v>
      </c>
      <c r="G14" s="129">
        <v>25725</v>
      </c>
      <c r="H14" s="49"/>
    </row>
    <row r="15" spans="2:8" x14ac:dyDescent="0.2">
      <c r="B15" s="57" t="s">
        <v>12</v>
      </c>
      <c r="C15" s="18"/>
      <c r="D15" s="18"/>
      <c r="E15" s="18"/>
      <c r="F15" s="101">
        <f>'Detailed calculations'!D18</f>
        <v>34768.32</v>
      </c>
      <c r="G15" s="101">
        <f>'Detailed calculations'!D18</f>
        <v>34768.32</v>
      </c>
      <c r="H15" s="49"/>
    </row>
    <row r="16" spans="2:8" x14ac:dyDescent="0.2">
      <c r="B16" s="57" t="s">
        <v>85</v>
      </c>
      <c r="C16" s="18"/>
      <c r="D16" s="18"/>
      <c r="E16" s="18"/>
      <c r="F16" s="101">
        <f>IF(F15&gt;F14,F15-F14,0)</f>
        <v>15833.32</v>
      </c>
      <c r="G16" s="101">
        <f>IF(G15&gt;G14,G15-G14,0)</f>
        <v>9043.32</v>
      </c>
      <c r="H16" s="49"/>
    </row>
    <row r="17" spans="2:8" x14ac:dyDescent="0.2">
      <c r="B17" s="57" t="s">
        <v>86</v>
      </c>
      <c r="C17" s="18"/>
      <c r="D17" s="18"/>
      <c r="E17" s="18"/>
      <c r="F17" s="101">
        <f>IF('New info in'!D10="P1",F16*0.09,0)</f>
        <v>0</v>
      </c>
      <c r="G17" s="101">
        <f>IF('New info in'!D10="P2",G16*0.09,0)</f>
        <v>0</v>
      </c>
      <c r="H17" s="49"/>
    </row>
    <row r="18" spans="2:8" ht="13.5" thickBot="1" x14ac:dyDescent="0.25">
      <c r="B18" s="52" t="s">
        <v>87</v>
      </c>
      <c r="C18" s="102">
        <f>IF(F17&gt;G17,F17,G17)</f>
        <v>0</v>
      </c>
      <c r="D18" s="19"/>
      <c r="E18" s="19"/>
      <c r="F18" s="19"/>
      <c r="G18" s="19"/>
      <c r="H18" s="20"/>
    </row>
    <row r="19" spans="2:8" ht="13.5" thickBot="1" x14ac:dyDescent="0.25"/>
    <row r="20" spans="2:8" x14ac:dyDescent="0.2">
      <c r="B20" s="44" t="s">
        <v>99</v>
      </c>
      <c r="C20" s="16"/>
      <c r="D20" s="16"/>
      <c r="E20" s="16"/>
      <c r="F20" s="16"/>
      <c r="G20" s="16"/>
      <c r="H20" s="17"/>
    </row>
    <row r="21" spans="2:8" x14ac:dyDescent="0.2">
      <c r="B21" s="47" t="s">
        <v>100</v>
      </c>
      <c r="C21" s="18"/>
      <c r="D21" s="18"/>
      <c r="E21" s="18"/>
      <c r="F21" s="101">
        <f>'Detailed calculations'!D25</f>
        <v>1520.124</v>
      </c>
      <c r="G21" s="18"/>
      <c r="H21" s="49"/>
    </row>
    <row r="22" spans="2:8" x14ac:dyDescent="0.2">
      <c r="B22" s="47" t="s">
        <v>102</v>
      </c>
      <c r="C22" s="18"/>
      <c r="D22" s="18"/>
      <c r="E22" s="18"/>
      <c r="F22" s="118">
        <f>'New info in'!C21*12</f>
        <v>0</v>
      </c>
      <c r="G22" s="18"/>
      <c r="H22" s="49"/>
    </row>
    <row r="23" spans="2:8" x14ac:dyDescent="0.2">
      <c r="B23" s="47" t="s">
        <v>101</v>
      </c>
      <c r="C23" s="18"/>
      <c r="D23" s="18"/>
      <c r="E23" s="18"/>
      <c r="F23" s="101">
        <f>SUM(F21:F22)</f>
        <v>1520.124</v>
      </c>
      <c r="G23" s="18"/>
      <c r="H23" s="49"/>
    </row>
    <row r="24" spans="2:8" x14ac:dyDescent="0.2">
      <c r="B24" s="47"/>
      <c r="C24" s="18"/>
      <c r="D24" s="18"/>
      <c r="E24" s="18"/>
      <c r="F24" s="101"/>
      <c r="G24" s="18"/>
      <c r="H24" s="49"/>
    </row>
    <row r="25" spans="2:8" x14ac:dyDescent="0.2">
      <c r="B25" s="47" t="s">
        <v>103</v>
      </c>
      <c r="C25" s="18"/>
      <c r="D25" s="18"/>
      <c r="E25" s="18"/>
      <c r="F25" s="101">
        <f>-'Cashflow summary'!D19</f>
        <v>24620.196</v>
      </c>
      <c r="G25" s="18"/>
      <c r="H25" s="49"/>
    </row>
    <row r="26" spans="2:8" ht="13.5" thickBot="1" x14ac:dyDescent="0.25">
      <c r="B26" s="52"/>
      <c r="C26" s="19"/>
      <c r="D26" s="19"/>
      <c r="E26" s="19"/>
      <c r="F26" s="102"/>
      <c r="G26" s="19"/>
      <c r="H26" s="20"/>
    </row>
    <row r="27" spans="2:8" ht="13.5" thickBot="1" x14ac:dyDescent="0.25">
      <c r="F27" s="92"/>
    </row>
    <row r="28" spans="2:8" x14ac:dyDescent="0.2">
      <c r="B28" s="44" t="s">
        <v>112</v>
      </c>
      <c r="C28" s="16"/>
      <c r="D28" s="16"/>
      <c r="E28" s="16"/>
      <c r="F28" s="135"/>
      <c r="G28" s="16"/>
      <c r="H28" s="17"/>
    </row>
    <row r="29" spans="2:8" x14ac:dyDescent="0.2">
      <c r="B29" s="47" t="s">
        <v>110</v>
      </c>
      <c r="C29" s="18"/>
      <c r="D29" s="18"/>
      <c r="E29" s="18"/>
      <c r="F29" s="101">
        <f>'Detailed calculations'!D5</f>
        <v>46000</v>
      </c>
      <c r="G29" s="18"/>
      <c r="H29" s="49"/>
    </row>
    <row r="30" spans="2:8" x14ac:dyDescent="0.2">
      <c r="B30" s="47" t="s">
        <v>111</v>
      </c>
      <c r="C30" s="18"/>
      <c r="D30" s="18"/>
      <c r="E30" s="18"/>
      <c r="F30" s="54" t="str">
        <f>'New info in'!D12</f>
        <v>N</v>
      </c>
      <c r="G30" s="18"/>
      <c r="H30" s="49"/>
    </row>
    <row r="31" spans="2:8" ht="13.5" thickBot="1" x14ac:dyDescent="0.25">
      <c r="B31" s="52" t="s">
        <v>113</v>
      </c>
      <c r="C31" s="19"/>
      <c r="D31" s="19"/>
      <c r="E31" s="19"/>
      <c r="F31" s="136" t="b">
        <f>AND(F29&gt;80000,F30="N")</f>
        <v>0</v>
      </c>
      <c r="G31" s="19"/>
      <c r="H31" s="20"/>
    </row>
    <row r="33" spans="2:6" x14ac:dyDescent="0.2">
      <c r="B33" t="s">
        <v>119</v>
      </c>
    </row>
    <row r="34" spans="2:6" x14ac:dyDescent="0.2">
      <c r="B34" t="s">
        <v>120</v>
      </c>
      <c r="F34" s="11">
        <f>'Detailed calculations'!D18</f>
        <v>34768.32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info in</vt:lpstr>
      <vt:lpstr>Cashflow summary</vt:lpstr>
      <vt:lpstr>Detailed calculations</vt:lpstr>
      <vt:lpstr>Tax rates and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Gardner</dc:creator>
  <cp:lastModifiedBy>Alex Gardner</cp:lastModifiedBy>
  <cp:lastPrinted>2017-03-31T14:41:36Z</cp:lastPrinted>
  <dcterms:created xsi:type="dcterms:W3CDTF">2013-05-20T07:30:24Z</dcterms:created>
  <dcterms:modified xsi:type="dcterms:W3CDTF">2019-04-15T13:43:41Z</dcterms:modified>
</cp:coreProperties>
</file>