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175" windowHeight="8640" activeTab="0"/>
  </bookViews>
  <sheets>
    <sheet name="Pipetulator" sheetId="1" r:id="rId1"/>
    <sheet name="Circular Ductulator" sheetId="2" r:id="rId2"/>
    <sheet name="Rectangular Ductulator" sheetId="3" r:id="rId3"/>
    <sheet name="Notes" sheetId="4" r:id="rId4"/>
  </sheets>
  <definedNames>
    <definedName name="_xlnm.Print_Area" localSheetId="0">'Pipetulator'!$A$1:$AE$139</definedName>
  </definedNames>
  <calcPr fullCalcOnLoad="1"/>
</workbook>
</file>

<file path=xl/comments4.xml><?xml version="1.0" encoding="utf-8"?>
<comments xmlns="http://schemas.openxmlformats.org/spreadsheetml/2006/main">
  <authors>
    <author>David McAllister</author>
  </authors>
  <commentList>
    <comment ref="B3" authorId="0">
      <text>
        <r>
          <rPr>
            <sz val="8"/>
            <rFont val="Tahoma"/>
            <family val="0"/>
          </rPr>
          <t>Spreadsheet assumes steel duct</t>
        </r>
      </text>
    </comment>
    <comment ref="B18" authorId="0">
      <text>
        <r>
          <rPr>
            <sz val="8"/>
            <rFont val="Tahoma"/>
            <family val="0"/>
          </rPr>
          <t>Spreadsheet assumes steel duct</t>
        </r>
      </text>
    </comment>
    <comment ref="C31" authorId="0">
      <text>
        <r>
          <rPr>
            <b/>
            <sz val="8"/>
            <rFont val="Tahoma"/>
            <family val="0"/>
          </rPr>
          <t>David McAllister:</t>
        </r>
        <r>
          <rPr>
            <sz val="8"/>
            <rFont val="Tahoma"/>
            <family val="0"/>
          </rPr>
          <t xml:space="preserve">
CIBSE Formula C4.38</t>
        </r>
      </text>
    </comment>
    <comment ref="C32" authorId="0">
      <text>
        <r>
          <rPr>
            <b/>
            <sz val="8"/>
            <rFont val="Tahoma"/>
            <family val="0"/>
          </rPr>
          <t>CIBSE C4.58</t>
        </r>
      </text>
    </comment>
    <comment ref="C33" authorId="0">
      <text>
        <r>
          <rPr>
            <sz val="8"/>
            <rFont val="Tahoma"/>
            <family val="0"/>
          </rPr>
          <t>dynamic viscosity / density</t>
        </r>
      </text>
    </comment>
  </commentList>
</comments>
</file>

<file path=xl/sharedStrings.xml><?xml version="1.0" encoding="utf-8"?>
<sst xmlns="http://schemas.openxmlformats.org/spreadsheetml/2006/main" count="661" uniqueCount="452">
  <si>
    <t>Duct Surface Roughness (CIBSE C4.7)</t>
  </si>
  <si>
    <t>Material</t>
  </si>
  <si>
    <t>Roughness (mm)</t>
  </si>
  <si>
    <t>Non-ferrous drawn piping</t>
  </si>
  <si>
    <t>Plastic piping</t>
  </si>
  <si>
    <t>Asbestos cement piping</t>
  </si>
  <si>
    <t>Black steel piping (new)</t>
  </si>
  <si>
    <t>Black steel piping (rusted)</t>
  </si>
  <si>
    <t>Properties of Water</t>
  </si>
  <si>
    <t>Temperature (°C)</t>
  </si>
  <si>
    <t>density (kg/m³)</t>
  </si>
  <si>
    <t>dynamic viscosity (Pa/m)</t>
  </si>
  <si>
    <t>kinematic viscosity (m²/s)</t>
  </si>
  <si>
    <t>Mass Flow Rate</t>
  </si>
  <si>
    <t>Velocity</t>
  </si>
  <si>
    <t>Dynamic Pressure</t>
  </si>
  <si>
    <t>Reynolds Number</t>
  </si>
  <si>
    <t>Roughness</t>
  </si>
  <si>
    <t>Friction Factor</t>
  </si>
  <si>
    <t>Pressure Drop</t>
  </si>
  <si>
    <t>Pipe Diameter</t>
  </si>
  <si>
    <t>mm</t>
  </si>
  <si>
    <t>m/s</t>
  </si>
  <si>
    <t>pa</t>
  </si>
  <si>
    <t>Fitting K Factor</t>
  </si>
  <si>
    <t xml:space="preserve">Fitting Pressure Drop  </t>
  </si>
  <si>
    <t>FDash (Alsthul Approx)</t>
  </si>
  <si>
    <t>PIPETULATOR</t>
  </si>
  <si>
    <t>DUCTULATOR</t>
  </si>
  <si>
    <t>steel</t>
  </si>
  <si>
    <t>neat cement/plaster</t>
  </si>
  <si>
    <t>spiral wound galvanised</t>
  </si>
  <si>
    <t>sheet aluminium</t>
  </si>
  <si>
    <t>plastic</t>
  </si>
  <si>
    <t>brickwork/concrete</t>
  </si>
  <si>
    <t>rough brickwork</t>
  </si>
  <si>
    <t>Properties of Air (STP)</t>
  </si>
  <si>
    <t>Barometric Pressure (kPa)</t>
  </si>
  <si>
    <t>Duct Width</t>
  </si>
  <si>
    <t>Duct Height</t>
  </si>
  <si>
    <t>Hydraulic Diameter</t>
  </si>
  <si>
    <t>m³/s</t>
  </si>
  <si>
    <t>Volume Flow Rate</t>
  </si>
  <si>
    <t>Pipe Surface Roughness (CIBSE C4.7)</t>
  </si>
  <si>
    <t>Pressure Drop / m</t>
  </si>
  <si>
    <t>pa / m</t>
  </si>
  <si>
    <t>kg/s</t>
  </si>
  <si>
    <t>pa/m</t>
  </si>
  <si>
    <t>Litres per sec</t>
  </si>
  <si>
    <t>m³/sec</t>
  </si>
  <si>
    <t>inch pipe</t>
  </si>
  <si>
    <t>ƛ  = frictional co-efficient</t>
  </si>
  <si>
    <t>WATER</t>
  </si>
  <si>
    <r>
      <t>d</t>
    </r>
    <r>
      <rPr>
        <sz val="11"/>
        <rFont val="Calibri"/>
        <family val="2"/>
      </rPr>
      <t>ƞ</t>
    </r>
    <r>
      <rPr>
        <sz val="11"/>
        <rFont val="Arial"/>
        <family val="2"/>
      </rPr>
      <t xml:space="preserve">  hydraulic Dia - mtres</t>
    </r>
  </si>
  <si>
    <t>L   =   Length</t>
  </si>
  <si>
    <t>Temperature</t>
  </si>
  <si>
    <t>Density</t>
  </si>
  <si>
    <t>Specific Weight</t>
  </si>
  <si>
    <r>
      <t xml:space="preserve">- </t>
    </r>
    <r>
      <rPr>
        <i/>
        <sz val="10"/>
        <rFont val="Arial"/>
        <family val="2"/>
      </rPr>
      <t>t -</t>
    </r>
  </si>
  <si>
    <r>
      <t>(</t>
    </r>
    <r>
      <rPr>
        <i/>
        <vertAlign val="superscript"/>
        <sz val="10"/>
        <rFont val="Arial"/>
        <family val="2"/>
      </rPr>
      <t>o</t>
    </r>
    <r>
      <rPr>
        <i/>
        <sz val="10"/>
        <rFont val="Arial"/>
        <family val="2"/>
      </rPr>
      <t>C)</t>
    </r>
  </si>
  <si>
    <r>
      <t xml:space="preserve">- </t>
    </r>
    <r>
      <rPr>
        <i/>
        <sz val="10"/>
        <rFont val="Arial"/>
        <family val="2"/>
      </rPr>
      <t>ρ -</t>
    </r>
  </si>
  <si>
    <r>
      <t>(kg/m</t>
    </r>
    <r>
      <rPr>
        <i/>
        <vertAlign val="superscript"/>
        <sz val="10"/>
        <rFont val="Arial"/>
        <family val="2"/>
      </rPr>
      <t>3</t>
    </r>
    <r>
      <rPr>
        <i/>
        <sz val="10"/>
        <rFont val="Arial"/>
        <family val="2"/>
      </rPr>
      <t>)</t>
    </r>
  </si>
  <si>
    <r>
      <t xml:space="preserve">- </t>
    </r>
    <r>
      <rPr>
        <i/>
        <sz val="10"/>
        <rFont val="Arial"/>
        <family val="2"/>
      </rPr>
      <t>γ -</t>
    </r>
  </si>
  <si>
    <r>
      <t>(kN/m</t>
    </r>
    <r>
      <rPr>
        <i/>
        <vertAlign val="superscript"/>
        <sz val="10"/>
        <rFont val="Arial"/>
        <family val="2"/>
      </rPr>
      <t>3</t>
    </r>
    <r>
      <rPr>
        <i/>
        <sz val="10"/>
        <rFont val="Arial"/>
        <family val="2"/>
      </rPr>
      <t>)</t>
    </r>
  </si>
  <si>
    <t>WATER DENSITY at TEMPERATURES</t>
  </si>
  <si>
    <t xml:space="preserve"> ( p v² / 2 )</t>
  </si>
  <si>
    <t>metres</t>
  </si>
  <si>
    <t>v   = Veloicty   m/sec</t>
  </si>
  <si>
    <t>ploss in     pa</t>
  </si>
  <si>
    <t xml:space="preserve"> L  / dƞ )</t>
  </si>
  <si>
    <t>Kpa</t>
  </si>
  <si>
    <t>answer  =</t>
  </si>
  <si>
    <t>bar</t>
  </si>
  <si>
    <t>Density and Specific Weight of Air at Standard Atmospheric Pressure - SI Units:</t>
  </si>
  <si>
    <r>
      <t>(N/m</t>
    </r>
    <r>
      <rPr>
        <i/>
        <vertAlign val="superscript"/>
        <sz val="10"/>
        <rFont val="Arial"/>
        <family val="2"/>
      </rPr>
      <t>3</t>
    </r>
    <r>
      <rPr>
        <i/>
        <sz val="10"/>
        <rFont val="Arial"/>
        <family val="2"/>
      </rPr>
      <t>)</t>
    </r>
  </si>
  <si>
    <t>AIR DENSITY AT TEMPERATURES</t>
  </si>
  <si>
    <t>Gas</t>
  </si>
  <si>
    <t>Formula</t>
  </si>
  <si>
    <t>Molecular</t>
  </si>
  <si>
    <t>weight</t>
  </si>
  <si>
    <t>Density - ρ -</t>
  </si>
  <si>
    <r>
      <t>(lb/ft</t>
    </r>
    <r>
      <rPr>
        <i/>
        <vertAlign val="superscript"/>
        <sz val="10"/>
        <rFont val="Arial"/>
        <family val="2"/>
      </rPr>
      <t>3</t>
    </r>
    <r>
      <rPr>
        <i/>
        <sz val="10"/>
        <rFont val="Arial"/>
        <family val="2"/>
      </rPr>
      <t>)</t>
    </r>
  </si>
  <si>
    <t>Acetylene (ethyne)</t>
  </si>
  <si>
    <r>
      <t>C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>H</t>
    </r>
    <r>
      <rPr>
        <i/>
        <vertAlign val="subscript"/>
        <sz val="10"/>
        <rFont val="Arial"/>
        <family val="2"/>
      </rPr>
      <t>2</t>
    </r>
  </si>
  <si>
    <r>
      <t>1.092</t>
    </r>
    <r>
      <rPr>
        <vertAlign val="superscript"/>
        <sz val="10"/>
        <rFont val="Arial"/>
        <family val="2"/>
      </rPr>
      <t>1)</t>
    </r>
  </si>
  <si>
    <r>
      <t>1.170</t>
    </r>
    <r>
      <rPr>
        <vertAlign val="superscript"/>
        <sz val="10"/>
        <rFont val="Arial"/>
        <family val="2"/>
      </rPr>
      <t>2)</t>
    </r>
  </si>
  <si>
    <r>
      <t>0.0682</t>
    </r>
    <r>
      <rPr>
        <vertAlign val="superscript"/>
        <sz val="10"/>
        <rFont val="Arial"/>
        <family val="2"/>
      </rPr>
      <t>1)</t>
    </r>
  </si>
  <si>
    <r>
      <t>0.0729</t>
    </r>
    <r>
      <rPr>
        <vertAlign val="superscript"/>
        <sz val="10"/>
        <rFont val="Arial"/>
        <family val="2"/>
      </rPr>
      <t>2)</t>
    </r>
  </si>
  <si>
    <t>Air</t>
  </si>
  <si>
    <r>
      <t>1.205</t>
    </r>
    <r>
      <rPr>
        <vertAlign val="superscript"/>
        <sz val="10"/>
        <rFont val="Arial"/>
        <family val="2"/>
      </rPr>
      <t>1)</t>
    </r>
  </si>
  <si>
    <r>
      <t>1.293</t>
    </r>
    <r>
      <rPr>
        <vertAlign val="superscript"/>
        <sz val="10"/>
        <rFont val="Arial"/>
        <family val="2"/>
      </rPr>
      <t>2)</t>
    </r>
  </si>
  <si>
    <r>
      <t>0.0752</t>
    </r>
    <r>
      <rPr>
        <vertAlign val="superscript"/>
        <sz val="10"/>
        <rFont val="Arial"/>
        <family val="2"/>
      </rPr>
      <t>1)</t>
    </r>
  </si>
  <si>
    <r>
      <t>0.0806</t>
    </r>
    <r>
      <rPr>
        <vertAlign val="superscript"/>
        <sz val="10"/>
        <rFont val="Arial"/>
        <family val="2"/>
      </rPr>
      <t>2)</t>
    </r>
  </si>
  <si>
    <t>Ammonia</t>
  </si>
  <si>
    <r>
      <t>NH</t>
    </r>
    <r>
      <rPr>
        <i/>
        <vertAlign val="subscript"/>
        <sz val="10"/>
        <rFont val="Arial"/>
        <family val="2"/>
      </rPr>
      <t>3</t>
    </r>
  </si>
  <si>
    <r>
      <t>0.717</t>
    </r>
    <r>
      <rPr>
        <vertAlign val="superscript"/>
        <sz val="10"/>
        <rFont val="Arial"/>
        <family val="2"/>
      </rPr>
      <t>1)</t>
    </r>
  </si>
  <si>
    <r>
      <t>0.769</t>
    </r>
    <r>
      <rPr>
        <vertAlign val="superscript"/>
        <sz val="10"/>
        <rFont val="Arial"/>
        <family val="2"/>
      </rPr>
      <t>2)</t>
    </r>
  </si>
  <si>
    <r>
      <t>0.0448</t>
    </r>
    <r>
      <rPr>
        <vertAlign val="superscript"/>
        <sz val="10"/>
        <rFont val="Arial"/>
        <family val="2"/>
      </rPr>
      <t>1)</t>
    </r>
  </si>
  <si>
    <r>
      <t>0.0480</t>
    </r>
    <r>
      <rPr>
        <vertAlign val="superscript"/>
        <sz val="10"/>
        <rFont val="Arial"/>
        <family val="2"/>
      </rPr>
      <t>2)</t>
    </r>
  </si>
  <si>
    <t>Argon</t>
  </si>
  <si>
    <t>Ar</t>
  </si>
  <si>
    <r>
      <t>1.661</t>
    </r>
    <r>
      <rPr>
        <vertAlign val="superscript"/>
        <sz val="10"/>
        <rFont val="Arial"/>
        <family val="2"/>
      </rPr>
      <t>1)</t>
    </r>
  </si>
  <si>
    <r>
      <t>1.7837</t>
    </r>
    <r>
      <rPr>
        <vertAlign val="superscript"/>
        <sz val="10"/>
        <rFont val="Arial"/>
        <family val="2"/>
      </rPr>
      <t>2)</t>
    </r>
  </si>
  <si>
    <r>
      <t>0.1037</t>
    </r>
    <r>
      <rPr>
        <vertAlign val="superscript"/>
        <sz val="10"/>
        <rFont val="Arial"/>
        <family val="2"/>
      </rPr>
      <t>1)</t>
    </r>
  </si>
  <si>
    <r>
      <t>0.111353</t>
    </r>
    <r>
      <rPr>
        <vertAlign val="superscript"/>
        <sz val="10"/>
        <rFont val="Arial"/>
        <family val="2"/>
      </rPr>
      <t>2)</t>
    </r>
  </si>
  <si>
    <t>Benzene</t>
  </si>
  <si>
    <r>
      <t>C</t>
    </r>
    <r>
      <rPr>
        <i/>
        <vertAlign val="subscript"/>
        <sz val="10"/>
        <rFont val="Arial"/>
        <family val="2"/>
      </rPr>
      <t>6</t>
    </r>
    <r>
      <rPr>
        <i/>
        <sz val="10"/>
        <rFont val="Arial"/>
        <family val="2"/>
      </rPr>
      <t>H</t>
    </r>
    <r>
      <rPr>
        <i/>
        <vertAlign val="subscript"/>
        <sz val="10"/>
        <rFont val="Arial"/>
        <family val="2"/>
      </rPr>
      <t>6</t>
    </r>
  </si>
  <si>
    <t>Blast furnace gas</t>
  </si>
  <si>
    <r>
      <t>1.250</t>
    </r>
    <r>
      <rPr>
        <vertAlign val="superscript"/>
        <sz val="10"/>
        <rFont val="Arial"/>
        <family val="2"/>
      </rPr>
      <t>2)</t>
    </r>
  </si>
  <si>
    <r>
      <t>0.0780</t>
    </r>
    <r>
      <rPr>
        <vertAlign val="superscript"/>
        <sz val="10"/>
        <rFont val="Arial"/>
        <family val="2"/>
      </rPr>
      <t>2)</t>
    </r>
  </si>
  <si>
    <t>Butane</t>
  </si>
  <si>
    <r>
      <t>C</t>
    </r>
    <r>
      <rPr>
        <i/>
        <vertAlign val="subscript"/>
        <sz val="10"/>
        <rFont val="Arial"/>
        <family val="2"/>
      </rPr>
      <t>4</t>
    </r>
    <r>
      <rPr>
        <i/>
        <sz val="10"/>
        <rFont val="Arial"/>
        <family val="2"/>
      </rPr>
      <t>H</t>
    </r>
    <r>
      <rPr>
        <i/>
        <vertAlign val="subscript"/>
        <sz val="10"/>
        <rFont val="Arial"/>
        <family val="2"/>
      </rPr>
      <t>10</t>
    </r>
  </si>
  <si>
    <r>
      <t>2.489</t>
    </r>
    <r>
      <rPr>
        <vertAlign val="superscript"/>
        <sz val="10"/>
        <rFont val="Arial"/>
        <family val="2"/>
      </rPr>
      <t>1)</t>
    </r>
  </si>
  <si>
    <r>
      <t>2.5</t>
    </r>
    <r>
      <rPr>
        <vertAlign val="superscript"/>
        <sz val="10"/>
        <rFont val="Arial"/>
        <family val="2"/>
      </rPr>
      <t>2)</t>
    </r>
  </si>
  <si>
    <r>
      <t>0.1554</t>
    </r>
    <r>
      <rPr>
        <vertAlign val="superscript"/>
        <sz val="10"/>
        <rFont val="Arial"/>
        <family val="2"/>
      </rPr>
      <t>1)</t>
    </r>
  </si>
  <si>
    <r>
      <t>0.156</t>
    </r>
    <r>
      <rPr>
        <vertAlign val="superscript"/>
        <sz val="10"/>
        <rFont val="Arial"/>
        <family val="2"/>
      </rPr>
      <t>2)</t>
    </r>
  </si>
  <si>
    <t>Butylene (Butene)</t>
  </si>
  <si>
    <r>
      <t>C</t>
    </r>
    <r>
      <rPr>
        <i/>
        <vertAlign val="subscript"/>
        <sz val="10"/>
        <rFont val="Arial"/>
        <family val="2"/>
      </rPr>
      <t>4</t>
    </r>
    <r>
      <rPr>
        <i/>
        <sz val="10"/>
        <rFont val="Arial"/>
        <family val="2"/>
      </rPr>
      <t>H</t>
    </r>
    <r>
      <rPr>
        <i/>
        <vertAlign val="subscript"/>
        <sz val="10"/>
        <rFont val="Arial"/>
        <family val="2"/>
      </rPr>
      <t>8</t>
    </r>
  </si>
  <si>
    <r>
      <t>0.148</t>
    </r>
    <r>
      <rPr>
        <vertAlign val="superscript"/>
        <sz val="10"/>
        <rFont val="Arial"/>
        <family val="2"/>
      </rPr>
      <t>2)</t>
    </r>
  </si>
  <si>
    <t>Carbon dioxide</t>
  </si>
  <si>
    <r>
      <t>CO</t>
    </r>
    <r>
      <rPr>
        <i/>
        <vertAlign val="subscript"/>
        <sz val="10"/>
        <rFont val="Arial"/>
        <family val="2"/>
      </rPr>
      <t>2</t>
    </r>
  </si>
  <si>
    <r>
      <t>1.842</t>
    </r>
    <r>
      <rPr>
        <vertAlign val="superscript"/>
        <sz val="10"/>
        <rFont val="Arial"/>
        <family val="2"/>
      </rPr>
      <t>1)</t>
    </r>
  </si>
  <si>
    <r>
      <t>1.977</t>
    </r>
    <r>
      <rPr>
        <vertAlign val="superscript"/>
        <sz val="10"/>
        <rFont val="Arial"/>
        <family val="2"/>
      </rPr>
      <t>2)</t>
    </r>
  </si>
  <si>
    <r>
      <t>0.1150</t>
    </r>
    <r>
      <rPr>
        <vertAlign val="superscript"/>
        <sz val="10"/>
        <rFont val="Arial"/>
        <family val="2"/>
      </rPr>
      <t>1)</t>
    </r>
  </si>
  <si>
    <r>
      <t>0.1234</t>
    </r>
    <r>
      <rPr>
        <vertAlign val="superscript"/>
        <sz val="10"/>
        <rFont val="Arial"/>
        <family val="2"/>
      </rPr>
      <t>2)</t>
    </r>
  </si>
  <si>
    <t>Carbon disulphide</t>
  </si>
  <si>
    <t>Carbon monoxide</t>
  </si>
  <si>
    <t>CO</t>
  </si>
  <si>
    <r>
      <t>1.165</t>
    </r>
    <r>
      <rPr>
        <vertAlign val="superscript"/>
        <sz val="10"/>
        <rFont val="Arial"/>
        <family val="2"/>
      </rPr>
      <t>1)</t>
    </r>
  </si>
  <si>
    <r>
      <t>0.0727</t>
    </r>
    <r>
      <rPr>
        <vertAlign val="superscript"/>
        <sz val="10"/>
        <rFont val="Arial"/>
        <family val="2"/>
      </rPr>
      <t>1)</t>
    </r>
  </si>
  <si>
    <t>Carbureted Water Gas</t>
  </si>
  <si>
    <t>Chlorine</t>
  </si>
  <si>
    <r>
      <t>Cl</t>
    </r>
    <r>
      <rPr>
        <i/>
        <vertAlign val="subscript"/>
        <sz val="10"/>
        <rFont val="Arial"/>
        <family val="2"/>
      </rPr>
      <t>2</t>
    </r>
  </si>
  <si>
    <r>
      <t>2.994</t>
    </r>
    <r>
      <rPr>
        <vertAlign val="superscript"/>
        <sz val="10"/>
        <rFont val="Arial"/>
        <family val="2"/>
      </rPr>
      <t>1)</t>
    </r>
  </si>
  <si>
    <r>
      <t>0.1869</t>
    </r>
    <r>
      <rPr>
        <vertAlign val="superscript"/>
        <sz val="10"/>
        <rFont val="Arial"/>
        <family val="2"/>
      </rPr>
      <t>1)</t>
    </r>
  </si>
  <si>
    <t>Coal gas</t>
  </si>
  <si>
    <r>
      <t>0.58</t>
    </r>
    <r>
      <rPr>
        <vertAlign val="superscript"/>
        <sz val="10"/>
        <rFont val="Arial"/>
        <family val="2"/>
      </rPr>
      <t>2)</t>
    </r>
  </si>
  <si>
    <t>Coke Oven Gas</t>
  </si>
  <si>
    <r>
      <t>0.034</t>
    </r>
    <r>
      <rPr>
        <vertAlign val="superscript"/>
        <sz val="10"/>
        <rFont val="Arial"/>
        <family val="2"/>
      </rPr>
      <t>2)</t>
    </r>
  </si>
  <si>
    <t>Combustion products</t>
  </si>
  <si>
    <r>
      <t>1.11</t>
    </r>
    <r>
      <rPr>
        <vertAlign val="superscript"/>
        <sz val="10"/>
        <rFont val="Arial"/>
        <family val="2"/>
      </rPr>
      <t>2)</t>
    </r>
  </si>
  <si>
    <r>
      <t>0.069</t>
    </r>
    <r>
      <rPr>
        <vertAlign val="superscript"/>
        <sz val="10"/>
        <rFont val="Arial"/>
        <family val="2"/>
      </rPr>
      <t>2)</t>
    </r>
  </si>
  <si>
    <t>Cyclohexane</t>
  </si>
  <si>
    <t>Digester Gas (Sewage or Biogas)</t>
  </si>
  <si>
    <t>Ethane</t>
  </si>
  <si>
    <r>
      <t>C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>H</t>
    </r>
    <r>
      <rPr>
        <i/>
        <vertAlign val="subscript"/>
        <sz val="10"/>
        <rFont val="Arial"/>
        <family val="2"/>
      </rPr>
      <t>6</t>
    </r>
  </si>
  <si>
    <r>
      <t>1.264</t>
    </r>
    <r>
      <rPr>
        <vertAlign val="superscript"/>
        <sz val="10"/>
        <rFont val="Arial"/>
        <family val="2"/>
      </rPr>
      <t>1)</t>
    </r>
  </si>
  <si>
    <r>
      <t>0.0789</t>
    </r>
    <r>
      <rPr>
        <vertAlign val="superscript"/>
        <sz val="10"/>
        <rFont val="Arial"/>
        <family val="2"/>
      </rPr>
      <t>1)</t>
    </r>
  </si>
  <si>
    <t>Ethyl Alcohol</t>
  </si>
  <si>
    <t>Ethyl Chloride</t>
  </si>
  <si>
    <t>Ethylene</t>
  </si>
  <si>
    <r>
      <t>C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>H</t>
    </r>
    <r>
      <rPr>
        <i/>
        <vertAlign val="subscript"/>
        <sz val="10"/>
        <rFont val="Arial"/>
        <family val="2"/>
      </rPr>
      <t>4</t>
    </r>
  </si>
  <si>
    <r>
      <t>1.260</t>
    </r>
    <r>
      <rPr>
        <vertAlign val="superscript"/>
        <sz val="10"/>
        <rFont val="Arial"/>
        <family val="2"/>
      </rPr>
      <t>2)</t>
    </r>
  </si>
  <si>
    <r>
      <t>0.0786</t>
    </r>
    <r>
      <rPr>
        <vertAlign val="superscript"/>
        <sz val="10"/>
        <rFont val="Arial"/>
        <family val="2"/>
      </rPr>
      <t>2)</t>
    </r>
  </si>
  <si>
    <t>Helium</t>
  </si>
  <si>
    <t>He</t>
  </si>
  <si>
    <r>
      <t>0.1664</t>
    </r>
    <r>
      <rPr>
        <vertAlign val="superscript"/>
        <sz val="10"/>
        <rFont val="Arial"/>
        <family val="2"/>
      </rPr>
      <t>1)</t>
    </r>
  </si>
  <si>
    <r>
      <t>0.1785</t>
    </r>
    <r>
      <rPr>
        <vertAlign val="superscript"/>
        <sz val="10"/>
        <rFont val="Arial"/>
        <family val="2"/>
      </rPr>
      <t>2)</t>
    </r>
  </si>
  <si>
    <r>
      <t>0.01039</t>
    </r>
    <r>
      <rPr>
        <vertAlign val="superscript"/>
        <sz val="10"/>
        <rFont val="Arial"/>
        <family val="2"/>
      </rPr>
      <t>1)</t>
    </r>
  </si>
  <si>
    <r>
      <t>0.011143</t>
    </r>
    <r>
      <rPr>
        <vertAlign val="superscript"/>
        <sz val="10"/>
        <rFont val="Arial"/>
        <family val="2"/>
      </rPr>
      <t>2)</t>
    </r>
  </si>
  <si>
    <t>N-Heptane</t>
  </si>
  <si>
    <t>Hexane</t>
  </si>
  <si>
    <t>Hydrogen</t>
  </si>
  <si>
    <r>
      <t>H</t>
    </r>
    <r>
      <rPr>
        <i/>
        <vertAlign val="subscript"/>
        <sz val="10"/>
        <rFont val="Arial"/>
        <family val="2"/>
      </rPr>
      <t>2</t>
    </r>
  </si>
  <si>
    <r>
      <t>0.0899</t>
    </r>
    <r>
      <rPr>
        <vertAlign val="superscript"/>
        <sz val="10"/>
        <rFont val="Arial"/>
        <family val="2"/>
      </rPr>
      <t>2)</t>
    </r>
  </si>
  <si>
    <r>
      <t>0.0056</t>
    </r>
    <r>
      <rPr>
        <vertAlign val="superscript"/>
        <sz val="10"/>
        <rFont val="Arial"/>
        <family val="2"/>
      </rPr>
      <t>2)</t>
    </r>
  </si>
  <si>
    <t>Hydrochloric Acid</t>
  </si>
  <si>
    <r>
      <t>1.63</t>
    </r>
    <r>
      <rPr>
        <vertAlign val="superscript"/>
        <sz val="10"/>
        <rFont val="Arial"/>
        <family val="2"/>
      </rPr>
      <t>2)</t>
    </r>
  </si>
  <si>
    <t>Hydrogen Chloride</t>
  </si>
  <si>
    <t>HCl</t>
  </si>
  <si>
    <r>
      <t>1.528</t>
    </r>
    <r>
      <rPr>
        <vertAlign val="superscript"/>
        <sz val="10"/>
        <rFont val="Arial"/>
        <family val="2"/>
      </rPr>
      <t>1)</t>
    </r>
  </si>
  <si>
    <r>
      <t>0.0954</t>
    </r>
    <r>
      <rPr>
        <vertAlign val="superscript"/>
        <sz val="10"/>
        <rFont val="Arial"/>
        <family val="2"/>
      </rPr>
      <t>1)</t>
    </r>
  </si>
  <si>
    <t>Hydrogen Sulfide</t>
  </si>
  <si>
    <r>
      <t>H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>S</t>
    </r>
  </si>
  <si>
    <r>
      <t>1.434</t>
    </r>
    <r>
      <rPr>
        <vertAlign val="superscript"/>
        <sz val="10"/>
        <rFont val="Arial"/>
        <family val="2"/>
      </rPr>
      <t>1)</t>
    </r>
  </si>
  <si>
    <r>
      <t>0.0895</t>
    </r>
    <r>
      <rPr>
        <vertAlign val="superscript"/>
        <sz val="10"/>
        <rFont val="Arial"/>
        <family val="2"/>
      </rPr>
      <t>1)</t>
    </r>
  </si>
  <si>
    <t>Krypton</t>
  </si>
  <si>
    <r>
      <t>3.74</t>
    </r>
    <r>
      <rPr>
        <vertAlign val="superscript"/>
        <sz val="10"/>
        <rFont val="Arial"/>
        <family val="2"/>
      </rPr>
      <t>2)</t>
    </r>
  </si>
  <si>
    <t>Methane</t>
  </si>
  <si>
    <r>
      <t>CH</t>
    </r>
    <r>
      <rPr>
        <i/>
        <vertAlign val="subscript"/>
        <sz val="10"/>
        <rFont val="Arial"/>
        <family val="2"/>
      </rPr>
      <t>4</t>
    </r>
  </si>
  <si>
    <r>
      <t>0.668</t>
    </r>
    <r>
      <rPr>
        <vertAlign val="superscript"/>
        <sz val="10"/>
        <rFont val="Arial"/>
        <family val="2"/>
      </rPr>
      <t>1)</t>
    </r>
  </si>
  <si>
    <r>
      <t>0.717</t>
    </r>
    <r>
      <rPr>
        <vertAlign val="superscript"/>
        <sz val="10"/>
        <rFont val="Arial"/>
        <family val="2"/>
      </rPr>
      <t>2)</t>
    </r>
  </si>
  <si>
    <r>
      <t>0.0417</t>
    </r>
    <r>
      <rPr>
        <vertAlign val="superscript"/>
        <sz val="10"/>
        <rFont val="Arial"/>
        <family val="2"/>
      </rPr>
      <t>1)</t>
    </r>
  </si>
  <si>
    <r>
      <t>0.0447</t>
    </r>
    <r>
      <rPr>
        <vertAlign val="superscript"/>
        <sz val="10"/>
        <rFont val="Arial"/>
        <family val="2"/>
      </rPr>
      <t>2)</t>
    </r>
  </si>
  <si>
    <t>Methyl Alcohol</t>
  </si>
  <si>
    <t>Methyl Butane</t>
  </si>
  <si>
    <t>Methyl Chloride</t>
  </si>
  <si>
    <t>Natural gas</t>
  </si>
  <si>
    <r>
      <t>0.7 - 0.9</t>
    </r>
    <r>
      <rPr>
        <vertAlign val="superscript"/>
        <sz val="10"/>
        <rFont val="Arial"/>
        <family val="2"/>
      </rPr>
      <t>2)</t>
    </r>
  </si>
  <si>
    <r>
      <t>0.044 - 0.056</t>
    </r>
    <r>
      <rPr>
        <vertAlign val="superscript"/>
        <sz val="10"/>
        <rFont val="Arial"/>
        <family val="2"/>
      </rPr>
      <t>2)</t>
    </r>
  </si>
  <si>
    <t>Neon</t>
  </si>
  <si>
    <t>Ne</t>
  </si>
  <si>
    <r>
      <t>0.8999</t>
    </r>
    <r>
      <rPr>
        <vertAlign val="superscript"/>
        <sz val="10"/>
        <rFont val="Arial"/>
        <family val="2"/>
      </rPr>
      <t>2)</t>
    </r>
  </si>
  <si>
    <r>
      <t>0.056179</t>
    </r>
    <r>
      <rPr>
        <vertAlign val="superscript"/>
        <sz val="10"/>
        <rFont val="Arial"/>
        <family val="2"/>
      </rPr>
      <t>2)</t>
    </r>
  </si>
  <si>
    <t>Nitric oxide</t>
  </si>
  <si>
    <t>NO</t>
  </si>
  <si>
    <r>
      <t>1.249</t>
    </r>
    <r>
      <rPr>
        <vertAlign val="superscript"/>
        <sz val="10"/>
        <rFont val="Arial"/>
        <family val="2"/>
      </rPr>
      <t>1)</t>
    </r>
  </si>
  <si>
    <r>
      <t>0.0780</t>
    </r>
    <r>
      <rPr>
        <vertAlign val="superscript"/>
        <sz val="10"/>
        <rFont val="Arial"/>
        <family val="2"/>
      </rPr>
      <t>1)</t>
    </r>
  </si>
  <si>
    <t>Nitrogen</t>
  </si>
  <si>
    <r>
      <t>N</t>
    </r>
    <r>
      <rPr>
        <i/>
        <vertAlign val="subscript"/>
        <sz val="10"/>
        <rFont val="Arial"/>
        <family val="2"/>
      </rPr>
      <t>2</t>
    </r>
  </si>
  <si>
    <r>
      <t>1.2506</t>
    </r>
    <r>
      <rPr>
        <vertAlign val="superscript"/>
        <sz val="10"/>
        <rFont val="Arial"/>
        <family val="2"/>
      </rPr>
      <t>2)</t>
    </r>
  </si>
  <si>
    <r>
      <t>0.078072</t>
    </r>
    <r>
      <rPr>
        <vertAlign val="superscript"/>
        <sz val="10"/>
        <rFont val="Arial"/>
        <family val="2"/>
      </rPr>
      <t>2)</t>
    </r>
  </si>
  <si>
    <t>Nitrogen Dioxide</t>
  </si>
  <si>
    <r>
      <t>NO</t>
    </r>
    <r>
      <rPr>
        <i/>
        <vertAlign val="subscript"/>
        <sz val="10"/>
        <rFont val="Arial"/>
        <family val="2"/>
      </rPr>
      <t>2</t>
    </r>
  </si>
  <si>
    <t>N-Octane</t>
  </si>
  <si>
    <t>Nitrous Oxide</t>
  </si>
  <si>
    <r>
      <t>N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>O</t>
    </r>
  </si>
  <si>
    <t>Nitrous Trioxide</t>
  </si>
  <si>
    <r>
      <t>NO</t>
    </r>
    <r>
      <rPr>
        <i/>
        <vertAlign val="subscript"/>
        <sz val="10"/>
        <rFont val="Arial"/>
        <family val="2"/>
      </rPr>
      <t>3</t>
    </r>
  </si>
  <si>
    <t>Oxygen</t>
  </si>
  <si>
    <r>
      <t>O</t>
    </r>
    <r>
      <rPr>
        <i/>
        <vertAlign val="subscript"/>
        <sz val="10"/>
        <rFont val="Arial"/>
        <family val="2"/>
      </rPr>
      <t>2</t>
    </r>
  </si>
  <si>
    <r>
      <t>1.331</t>
    </r>
    <r>
      <rPr>
        <vertAlign val="superscript"/>
        <sz val="10"/>
        <rFont val="Arial"/>
        <family val="2"/>
      </rPr>
      <t>1)</t>
    </r>
  </si>
  <si>
    <r>
      <t>1.4290</t>
    </r>
    <r>
      <rPr>
        <vertAlign val="superscript"/>
        <sz val="10"/>
        <rFont val="Arial"/>
        <family val="2"/>
      </rPr>
      <t>2)</t>
    </r>
  </si>
  <si>
    <r>
      <t>0.0831</t>
    </r>
    <r>
      <rPr>
        <vertAlign val="superscript"/>
        <sz val="10"/>
        <rFont val="Arial"/>
        <family val="2"/>
      </rPr>
      <t>1)</t>
    </r>
  </si>
  <si>
    <r>
      <t>0.089210</t>
    </r>
    <r>
      <rPr>
        <vertAlign val="superscript"/>
        <sz val="10"/>
        <rFont val="Arial"/>
        <family val="2"/>
      </rPr>
      <t>2)</t>
    </r>
  </si>
  <si>
    <t>Ozone</t>
  </si>
  <si>
    <r>
      <t>O</t>
    </r>
    <r>
      <rPr>
        <i/>
        <vertAlign val="subscript"/>
        <sz val="10"/>
        <rFont val="Arial"/>
        <family val="2"/>
      </rPr>
      <t>3</t>
    </r>
  </si>
  <si>
    <r>
      <t>2.14</t>
    </r>
    <r>
      <rPr>
        <vertAlign val="superscript"/>
        <sz val="10"/>
        <rFont val="Arial"/>
        <family val="2"/>
      </rPr>
      <t>2)</t>
    </r>
  </si>
  <si>
    <t>N-Pentane</t>
  </si>
  <si>
    <t>Iso-Pentane</t>
  </si>
  <si>
    <t>Propane</t>
  </si>
  <si>
    <r>
      <t>C</t>
    </r>
    <r>
      <rPr>
        <i/>
        <vertAlign val="subscript"/>
        <sz val="10"/>
        <rFont val="Arial"/>
        <family val="2"/>
      </rPr>
      <t>3</t>
    </r>
    <r>
      <rPr>
        <i/>
        <sz val="10"/>
        <rFont val="Arial"/>
        <family val="2"/>
      </rPr>
      <t>H</t>
    </r>
    <r>
      <rPr>
        <i/>
        <vertAlign val="subscript"/>
        <sz val="10"/>
        <rFont val="Arial"/>
        <family val="2"/>
      </rPr>
      <t>8</t>
    </r>
  </si>
  <si>
    <r>
      <t>1.882</t>
    </r>
    <r>
      <rPr>
        <vertAlign val="superscript"/>
        <sz val="10"/>
        <rFont val="Arial"/>
        <family val="2"/>
      </rPr>
      <t>1)</t>
    </r>
  </si>
  <si>
    <r>
      <t>0.1175</t>
    </r>
    <r>
      <rPr>
        <vertAlign val="superscript"/>
        <sz val="10"/>
        <rFont val="Arial"/>
        <family val="2"/>
      </rPr>
      <t>1)</t>
    </r>
  </si>
  <si>
    <t>Propene (propylene)</t>
  </si>
  <si>
    <r>
      <t>C</t>
    </r>
    <r>
      <rPr>
        <i/>
        <vertAlign val="subscript"/>
        <sz val="10"/>
        <rFont val="Arial"/>
        <family val="2"/>
      </rPr>
      <t>3</t>
    </r>
    <r>
      <rPr>
        <i/>
        <sz val="10"/>
        <rFont val="Arial"/>
        <family val="2"/>
      </rPr>
      <t>H</t>
    </r>
    <r>
      <rPr>
        <i/>
        <vertAlign val="subscript"/>
        <sz val="10"/>
        <rFont val="Arial"/>
        <family val="2"/>
      </rPr>
      <t>6</t>
    </r>
  </si>
  <si>
    <r>
      <t>1.748</t>
    </r>
    <r>
      <rPr>
        <vertAlign val="superscript"/>
        <sz val="10"/>
        <rFont val="Arial"/>
        <family val="2"/>
      </rPr>
      <t>1)</t>
    </r>
  </si>
  <si>
    <r>
      <t>0.1091</t>
    </r>
    <r>
      <rPr>
        <vertAlign val="superscript"/>
        <sz val="10"/>
        <rFont val="Arial"/>
        <family val="2"/>
      </rPr>
      <t>1)</t>
    </r>
  </si>
  <si>
    <t>R-11</t>
  </si>
  <si>
    <t>R-12</t>
  </si>
  <si>
    <t>R-22</t>
  </si>
  <si>
    <t>R-114</t>
  </si>
  <si>
    <t>R-123</t>
  </si>
  <si>
    <t>R-134a</t>
  </si>
  <si>
    <t>Sasol</t>
  </si>
  <si>
    <t>Sulfur</t>
  </si>
  <si>
    <t>S</t>
  </si>
  <si>
    <t>Sulfur Dioxide</t>
  </si>
  <si>
    <r>
      <t>SO</t>
    </r>
    <r>
      <rPr>
        <i/>
        <vertAlign val="subscript"/>
        <sz val="10"/>
        <rFont val="Arial"/>
        <family val="2"/>
      </rPr>
      <t>2</t>
    </r>
  </si>
  <si>
    <r>
      <t>2.279</t>
    </r>
    <r>
      <rPr>
        <vertAlign val="superscript"/>
        <sz val="10"/>
        <rFont val="Arial"/>
        <family val="2"/>
      </rPr>
      <t>1)</t>
    </r>
  </si>
  <si>
    <r>
      <t>2.926</t>
    </r>
    <r>
      <rPr>
        <vertAlign val="superscript"/>
        <sz val="10"/>
        <rFont val="Arial"/>
        <family val="2"/>
      </rPr>
      <t>2)</t>
    </r>
  </si>
  <si>
    <r>
      <t>0.1703</t>
    </r>
    <r>
      <rPr>
        <vertAlign val="superscript"/>
        <sz val="10"/>
        <rFont val="Arial"/>
        <family val="2"/>
      </rPr>
      <t>1)</t>
    </r>
  </si>
  <si>
    <r>
      <t>0.1828</t>
    </r>
    <r>
      <rPr>
        <vertAlign val="superscript"/>
        <sz val="10"/>
        <rFont val="Arial"/>
        <family val="2"/>
      </rPr>
      <t>2)</t>
    </r>
  </si>
  <si>
    <t>Sulfur Trioxide</t>
  </si>
  <si>
    <r>
      <t>SO</t>
    </r>
    <r>
      <rPr>
        <i/>
        <vertAlign val="subscript"/>
        <sz val="10"/>
        <rFont val="Arial"/>
        <family val="2"/>
      </rPr>
      <t>3</t>
    </r>
  </si>
  <si>
    <t>Sulfuric Oxide</t>
  </si>
  <si>
    <t>SO</t>
  </si>
  <si>
    <t>Toluene</t>
  </si>
  <si>
    <r>
      <t>C</t>
    </r>
    <r>
      <rPr>
        <i/>
        <vertAlign val="subscript"/>
        <sz val="10"/>
        <rFont val="Arial"/>
        <family val="2"/>
      </rPr>
      <t>7</t>
    </r>
    <r>
      <rPr>
        <i/>
        <sz val="10"/>
        <rFont val="Arial"/>
        <family val="2"/>
      </rPr>
      <t>H</t>
    </r>
    <r>
      <rPr>
        <i/>
        <vertAlign val="subscript"/>
        <sz val="10"/>
        <rFont val="Arial"/>
        <family val="2"/>
      </rPr>
      <t>8</t>
    </r>
  </si>
  <si>
    <t>Water Vapor, steam</t>
  </si>
  <si>
    <r>
      <t>H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>O</t>
    </r>
  </si>
  <si>
    <t>Water gas (bituminous)</t>
  </si>
  <si>
    <t>Xenon</t>
  </si>
  <si>
    <r>
      <t>5.86</t>
    </r>
    <r>
      <rPr>
        <vertAlign val="superscript"/>
        <sz val="10"/>
        <rFont val="Arial"/>
        <family val="2"/>
      </rPr>
      <t>2)</t>
    </r>
  </si>
  <si>
    <t>Densities, of some common gases can be found in the table below:</t>
  </si>
  <si>
    <t>Friction Coefficients for some Common Materials and Materials Combinations</t>
  </si>
  <si>
    <t>Materials and Material Combinations</t>
  </si>
  <si>
    <t>Static Frictional Coefficient</t>
  </si>
  <si>
    <r>
      <t xml:space="preserve">- </t>
    </r>
    <r>
      <rPr>
        <b/>
        <i/>
        <sz val="10"/>
        <rFont val="Arial"/>
        <family val="2"/>
      </rPr>
      <t>μ</t>
    </r>
    <r>
      <rPr>
        <b/>
        <i/>
        <vertAlign val="subscript"/>
        <sz val="10"/>
        <rFont val="Arial"/>
        <family val="2"/>
      </rPr>
      <t xml:space="preserve">s </t>
    </r>
    <r>
      <rPr>
        <b/>
        <i/>
        <sz val="10"/>
        <rFont val="Arial"/>
        <family val="2"/>
      </rPr>
      <t>-</t>
    </r>
  </si>
  <si>
    <t>Clean and Dry Surfaces</t>
  </si>
  <si>
    <t>Lubricated and Greasy Surfaces</t>
  </si>
  <si>
    <t>Aluminum</t>
  </si>
  <si>
    <t>1.05 - 1.35</t>
  </si>
  <si>
    <t>Aluminum-bronze</t>
  </si>
  <si>
    <t>Steel</t>
  </si>
  <si>
    <t>Mild Steel</t>
  </si>
  <si>
    <r>
      <t>Brake material</t>
    </r>
    <r>
      <rPr>
        <vertAlign val="superscript"/>
        <sz val="10"/>
        <rFont val="Arial"/>
        <family val="2"/>
      </rPr>
      <t>2)</t>
    </r>
  </si>
  <si>
    <t>Cast iron</t>
  </si>
  <si>
    <t>Cast iron (wet)</t>
  </si>
  <si>
    <t>Brass</t>
  </si>
  <si>
    <t>Cast Iron</t>
  </si>
  <si>
    <r>
      <t>0.3</t>
    </r>
    <r>
      <rPr>
        <vertAlign val="superscript"/>
        <sz val="10"/>
        <rFont val="Arial"/>
        <family val="2"/>
      </rPr>
      <t>1)</t>
    </r>
  </si>
  <si>
    <t>Brick</t>
  </si>
  <si>
    <t>Wood</t>
  </si>
  <si>
    <t>Bronze</t>
  </si>
  <si>
    <r>
      <t>0.22</t>
    </r>
    <r>
      <rPr>
        <vertAlign val="superscript"/>
        <sz val="10"/>
        <rFont val="Arial"/>
        <family val="2"/>
      </rPr>
      <t>1)</t>
    </r>
  </si>
  <si>
    <t>Bronze - sintered</t>
  </si>
  <si>
    <t>Cadmium</t>
  </si>
  <si>
    <t>Chromium</t>
  </si>
  <si>
    <r>
      <t>0.46</t>
    </r>
    <r>
      <rPr>
        <vertAlign val="superscript"/>
        <sz val="10"/>
        <rFont val="Arial"/>
        <family val="2"/>
      </rPr>
      <t>1)</t>
    </r>
  </si>
  <si>
    <r>
      <t>1.1, 0.15</t>
    </r>
    <r>
      <rPr>
        <vertAlign val="superscript"/>
        <sz val="10"/>
        <rFont val="Arial"/>
        <family val="2"/>
      </rPr>
      <t>1)</t>
    </r>
  </si>
  <si>
    <r>
      <t>0.07</t>
    </r>
    <r>
      <rPr>
        <vertAlign val="superscript"/>
        <sz val="10"/>
        <rFont val="Arial"/>
        <family val="2"/>
      </rPr>
      <t>1)</t>
    </r>
  </si>
  <si>
    <t>Oak</t>
  </si>
  <si>
    <r>
      <t>0.49</t>
    </r>
    <r>
      <rPr>
        <vertAlign val="superscript"/>
        <sz val="10"/>
        <rFont val="Arial"/>
        <family val="2"/>
      </rPr>
      <t>1)</t>
    </r>
  </si>
  <si>
    <r>
      <t>0.4, 0.23</t>
    </r>
    <r>
      <rPr>
        <vertAlign val="superscript"/>
        <sz val="10"/>
        <rFont val="Arial"/>
        <family val="2"/>
      </rPr>
      <t>1)</t>
    </r>
  </si>
  <si>
    <r>
      <t>0.21, 0.133</t>
    </r>
    <r>
      <rPr>
        <vertAlign val="superscript"/>
        <sz val="10"/>
        <rFont val="Arial"/>
        <family val="2"/>
      </rPr>
      <t>1)</t>
    </r>
  </si>
  <si>
    <t>Car tire</t>
  </si>
  <si>
    <t>Asphalt</t>
  </si>
  <si>
    <t>Grass</t>
  </si>
  <si>
    <t>Carbon (hard)</t>
  </si>
  <si>
    <t>Carbon</t>
  </si>
  <si>
    <t>0.12 - 0.14</t>
  </si>
  <si>
    <t>0.11 - 0.14</t>
  </si>
  <si>
    <t>Copper-Lead alloy</t>
  </si>
  <si>
    <t>Copper</t>
  </si>
  <si>
    <r>
      <t>1.05, 0.29</t>
    </r>
    <r>
      <rPr>
        <vertAlign val="superscript"/>
        <sz val="10"/>
        <rFont val="Arial"/>
        <family val="2"/>
      </rPr>
      <t>1)</t>
    </r>
  </si>
  <si>
    <r>
      <t>0.53, 0.36</t>
    </r>
    <r>
      <rPr>
        <vertAlign val="superscript"/>
        <sz val="10"/>
        <rFont val="Arial"/>
        <family val="2"/>
      </rPr>
      <t>1)</t>
    </r>
  </si>
  <si>
    <r>
      <t>0.18</t>
    </r>
    <r>
      <rPr>
        <vertAlign val="superscript"/>
        <sz val="10"/>
        <rFont val="Arial"/>
        <family val="2"/>
      </rPr>
      <t>1)</t>
    </r>
  </si>
  <si>
    <t>Diamond</t>
  </si>
  <si>
    <t>0.05 - 0.1</t>
  </si>
  <si>
    <t>Metal</t>
  </si>
  <si>
    <t>0.1 - 0.15</t>
  </si>
  <si>
    <t>Glass</t>
  </si>
  <si>
    <r>
      <t>0.9 - 1.0, 0.4</t>
    </r>
    <r>
      <rPr>
        <vertAlign val="superscript"/>
        <sz val="10"/>
        <rFont val="Arial"/>
        <family val="2"/>
      </rPr>
      <t>1)</t>
    </r>
  </si>
  <si>
    <t>0.1 - 0.6,</t>
  </si>
  <si>
    <r>
      <t>0.09-0.12</t>
    </r>
    <r>
      <rPr>
        <vertAlign val="superscript"/>
        <sz val="10"/>
        <rFont val="Arial"/>
        <family val="2"/>
      </rPr>
      <t>1)</t>
    </r>
  </si>
  <si>
    <t>0.5 - 0.7</t>
  </si>
  <si>
    <t>0.2 - 0.3</t>
  </si>
  <si>
    <t>Nickel</t>
  </si>
  <si>
    <t>Graphite</t>
  </si>
  <si>
    <t>Graphite (in vacuum)</t>
  </si>
  <si>
    <t>0.5 - 0.8</t>
  </si>
  <si>
    <t>Hemp rope</t>
  </si>
  <si>
    <t>Timber</t>
  </si>
  <si>
    <t>Horseshoe</t>
  </si>
  <si>
    <t>Rubber</t>
  </si>
  <si>
    <t>Concrete</t>
  </si>
  <si>
    <t>Ice</t>
  </si>
  <si>
    <t>0.02 - 0.09</t>
  </si>
  <si>
    <t>Iron</t>
  </si>
  <si>
    <t>0.15 - 0.20</t>
  </si>
  <si>
    <t>Lead</t>
  </si>
  <si>
    <r>
      <t>0.43</t>
    </r>
    <r>
      <rPr>
        <vertAlign val="superscript"/>
        <sz val="10"/>
        <rFont val="Arial"/>
        <family val="2"/>
      </rPr>
      <t>1)</t>
    </r>
  </si>
  <si>
    <t>Leather</t>
  </si>
  <si>
    <r>
      <t>0.61, 052</t>
    </r>
    <r>
      <rPr>
        <vertAlign val="superscript"/>
        <sz val="10"/>
        <rFont val="Arial"/>
        <family val="2"/>
      </rPr>
      <t>1</t>
    </r>
  </si>
  <si>
    <t>0.3 - 0.4</t>
  </si>
  <si>
    <t>Clean Metal</t>
  </si>
  <si>
    <t>Leather fiber </t>
  </si>
  <si>
    <t>Leather fiber</t>
  </si>
  <si>
    <t>Magnesium</t>
  </si>
  <si>
    <t>Masonry</t>
  </si>
  <si>
    <t>0.6 - 0.7</t>
  </si>
  <si>
    <t>0.7 - 1.1,</t>
  </si>
  <si>
    <r>
      <t>0.53</t>
    </r>
    <r>
      <rPr>
        <vertAlign val="superscript"/>
        <sz val="10"/>
        <rFont val="Arial"/>
        <family val="2"/>
      </rPr>
      <t>1)</t>
    </r>
  </si>
  <si>
    <r>
      <t>0.28, 0.12</t>
    </r>
    <r>
      <rPr>
        <vertAlign val="superscript"/>
        <sz val="10"/>
        <rFont val="Arial"/>
        <family val="2"/>
      </rPr>
      <t>1)</t>
    </r>
  </si>
  <si>
    <r>
      <t>0.64</t>
    </r>
    <r>
      <rPr>
        <vertAlign val="superscript"/>
        <sz val="10"/>
        <rFont val="Arial"/>
        <family val="2"/>
      </rPr>
      <t>1)</t>
    </r>
  </si>
  <si>
    <r>
      <t>0.178</t>
    </r>
    <r>
      <rPr>
        <vertAlign val="superscript"/>
        <sz val="10"/>
        <rFont val="Arial"/>
        <family val="2"/>
      </rPr>
      <t>1)</t>
    </r>
  </si>
  <si>
    <t>Nylon</t>
  </si>
  <si>
    <t>0.15 - 0.25</t>
  </si>
  <si>
    <t>Oak (parallel grain)</t>
  </si>
  <si>
    <r>
      <t>0.62, 0.48</t>
    </r>
    <r>
      <rPr>
        <vertAlign val="superscript"/>
        <sz val="10"/>
        <rFont val="Arial"/>
        <family val="2"/>
      </rPr>
      <t>1)</t>
    </r>
  </si>
  <si>
    <t>Oak (cross grain)</t>
  </si>
  <si>
    <r>
      <t>0.54, 0.32</t>
    </r>
    <r>
      <rPr>
        <vertAlign val="superscript"/>
        <sz val="10"/>
        <rFont val="Arial"/>
        <family val="2"/>
      </rPr>
      <t>1</t>
    </r>
  </si>
  <si>
    <t>Paper</t>
  </si>
  <si>
    <t>Phosphor-bronze</t>
  </si>
  <si>
    <t>Platinum</t>
  </si>
  <si>
    <t>Plexiglas</t>
  </si>
  <si>
    <t>0.4-0.5</t>
  </si>
  <si>
    <t>0.4 - 0.5</t>
  </si>
  <si>
    <t>Polystyrene</t>
  </si>
  <si>
    <t>0.3-0.35</t>
  </si>
  <si>
    <t>0.3 - 0.35</t>
  </si>
  <si>
    <t>Polythene</t>
  </si>
  <si>
    <t>Cardboard</t>
  </si>
  <si>
    <t>Dry Asphalt</t>
  </si>
  <si>
    <r>
      <t>0.9  (0.5 - 0.8)</t>
    </r>
    <r>
      <rPr>
        <vertAlign val="superscript"/>
        <sz val="10"/>
        <rFont val="Arial"/>
        <family val="2"/>
      </rPr>
      <t>1)</t>
    </r>
  </si>
  <si>
    <t>Wet Asphalt</t>
  </si>
  <si>
    <r>
      <t>0.25 - 0.75</t>
    </r>
    <r>
      <rPr>
        <vertAlign val="superscript"/>
        <sz val="10"/>
        <rFont val="Arial"/>
        <family val="2"/>
      </rPr>
      <t>1)</t>
    </r>
  </si>
  <si>
    <t>Dry Concrete</t>
  </si>
  <si>
    <r>
      <t>0.6 - 0.85</t>
    </r>
    <r>
      <rPr>
        <vertAlign val="superscript"/>
        <sz val="10"/>
        <rFont val="Arial"/>
        <family val="2"/>
      </rPr>
      <t>1)</t>
    </r>
  </si>
  <si>
    <t>Wet Concrete</t>
  </si>
  <si>
    <r>
      <t>0.45 - 0.75</t>
    </r>
    <r>
      <rPr>
        <vertAlign val="superscript"/>
        <sz val="10"/>
        <rFont val="Arial"/>
        <family val="2"/>
      </rPr>
      <t>1)</t>
    </r>
  </si>
  <si>
    <t>Silver</t>
  </si>
  <si>
    <t>Sapphire</t>
  </si>
  <si>
    <t>Skin</t>
  </si>
  <si>
    <t>Metals</t>
  </si>
  <si>
    <t>0.8 - 1.0</t>
  </si>
  <si>
    <t>Straw Fiber</t>
  </si>
  <si>
    <t>Straw Fiber </t>
  </si>
  <si>
    <t>Tarred fiber</t>
  </si>
  <si>
    <t>Teflon</t>
  </si>
  <si>
    <r>
      <t>0.04, 0.04</t>
    </r>
    <r>
      <rPr>
        <vertAlign val="superscript"/>
        <sz val="10"/>
        <rFont val="Arial"/>
        <family val="2"/>
      </rPr>
      <t>1)</t>
    </r>
  </si>
  <si>
    <t>0.05 - 0.2</t>
  </si>
  <si>
    <t>Tungsten Carbide</t>
  </si>
  <si>
    <t>0.4-0.6</t>
  </si>
  <si>
    <t>0.1 - 0.2</t>
  </si>
  <si>
    <t>0.2 - 0.25</t>
  </si>
  <si>
    <t>Tin</t>
  </si>
  <si>
    <r>
      <t>0.32</t>
    </r>
    <r>
      <rPr>
        <vertAlign val="superscript"/>
        <sz val="10"/>
        <rFont val="Arial"/>
        <family val="2"/>
      </rPr>
      <t>1)</t>
    </r>
  </si>
  <si>
    <t>Tire, dry</t>
  </si>
  <si>
    <t>Road, dry</t>
  </si>
  <si>
    <t>Tire, wet</t>
  </si>
  <si>
    <t>Road, wet</t>
  </si>
  <si>
    <t>Clean Wood</t>
  </si>
  <si>
    <t>0.25 - 0.5</t>
  </si>
  <si>
    <t>Wet Wood</t>
  </si>
  <si>
    <t>0.2 - 0.6</t>
  </si>
  <si>
    <t>Wet Metals</t>
  </si>
  <si>
    <t>Stone</t>
  </si>
  <si>
    <t>0.2 - 0.4</t>
  </si>
  <si>
    <t>Wood - waxed</t>
  </si>
  <si>
    <t>Wet snow</t>
  </si>
  <si>
    <r>
      <t>0.14, 0.1</t>
    </r>
    <r>
      <rPr>
        <vertAlign val="superscript"/>
        <sz val="10"/>
        <rFont val="Arial"/>
        <family val="2"/>
      </rPr>
      <t>1)</t>
    </r>
  </si>
  <si>
    <t>Dry snow</t>
  </si>
  <si>
    <r>
      <t>0.04</t>
    </r>
    <r>
      <rPr>
        <vertAlign val="superscript"/>
        <sz val="10"/>
        <rFont val="Arial"/>
        <family val="2"/>
      </rPr>
      <t>1)</t>
    </r>
  </si>
  <si>
    <t>Zinc</t>
  </si>
  <si>
    <r>
      <t>0.85, 0.21</t>
    </r>
    <r>
      <rPr>
        <vertAlign val="superscript"/>
        <sz val="10"/>
        <rFont val="Arial"/>
        <family val="2"/>
      </rPr>
      <t>1)</t>
    </r>
  </si>
  <si>
    <t>PRESSURE Drop for the particular LENGTH OF PIPE</t>
  </si>
  <si>
    <t>DETERMINING the Flow of GAS throguh Pipe</t>
  </si>
  <si>
    <t>poles formula</t>
  </si>
  <si>
    <t>Q  =</t>
  </si>
  <si>
    <r>
      <t>m</t>
    </r>
    <r>
      <rPr>
        <sz val="10"/>
        <rFont val="Calibri"/>
        <family val="2"/>
      </rPr>
      <t>³</t>
    </r>
    <r>
      <rPr>
        <sz val="10"/>
        <rFont val="Arial"/>
        <family val="2"/>
      </rPr>
      <t>/hour</t>
    </r>
  </si>
  <si>
    <t>Coeficient of friction</t>
  </si>
  <si>
    <t>Dia pf pipe</t>
  </si>
  <si>
    <t xml:space="preserve">h = pressure drop </t>
  </si>
  <si>
    <t>mbar</t>
  </si>
  <si>
    <t xml:space="preserve">Q   =  0.0071   </t>
  </si>
  <si>
    <t>S    *   L</t>
  </si>
  <si>
    <t>L  = Length</t>
  </si>
  <si>
    <t>Metres</t>
  </si>
  <si>
    <t>SG</t>
  </si>
  <si>
    <t xml:space="preserve">s = Specific Gravity </t>
  </si>
  <si>
    <t xml:space="preserve">^ d⁵  </t>
  </si>
  <si>
    <t>*h</t>
  </si>
  <si>
    <t>answer</t>
  </si>
  <si>
    <t>m³/hour</t>
  </si>
  <si>
    <t>mbar =</t>
  </si>
  <si>
    <t>GAS or FLUID *****</t>
  </si>
  <si>
    <r>
      <rPr>
        <b/>
        <sz val="11"/>
        <rFont val="Arial"/>
        <family val="2"/>
      </rPr>
      <t xml:space="preserve">p = </t>
    </r>
    <r>
      <rPr>
        <sz val="11"/>
        <rFont val="Arial"/>
        <family val="2"/>
      </rPr>
      <t>density of fluid  kg/m</t>
    </r>
    <r>
      <rPr>
        <sz val="11"/>
        <rFont val="Calibri"/>
        <family val="2"/>
      </rPr>
      <t>³</t>
    </r>
  </si>
  <si>
    <t>MAX  h  =  1 mbar  **  pipe length MUST NOT EXCEED  1 mbar or 10% max operating pressure rate</t>
  </si>
  <si>
    <t>GAS</t>
  </si>
  <si>
    <t>TOTAL Pressure Loss</t>
  </si>
  <si>
    <r>
      <t xml:space="preserve">ploss   =   </t>
    </r>
    <r>
      <rPr>
        <b/>
        <sz val="16"/>
        <rFont val="Calibri"/>
        <family val="2"/>
      </rPr>
      <t>ƛ</t>
    </r>
    <r>
      <rPr>
        <b/>
        <sz val="16"/>
        <rFont val="Arial"/>
        <family val="2"/>
      </rPr>
      <t xml:space="preserve">  (  L  / d</t>
    </r>
    <r>
      <rPr>
        <b/>
        <sz val="16"/>
        <rFont val="Calibri"/>
        <family val="2"/>
      </rPr>
      <t>ƞ</t>
    </r>
    <r>
      <rPr>
        <b/>
        <sz val="16"/>
        <rFont val="Arial"/>
        <family val="2"/>
      </rPr>
      <t xml:space="preserve"> ) ( p v</t>
    </r>
    <r>
      <rPr>
        <b/>
        <sz val="16"/>
        <rFont val="Calibri"/>
        <family val="2"/>
      </rPr>
      <t>²</t>
    </r>
    <r>
      <rPr>
        <b/>
        <sz val="16"/>
        <rFont val="Arial"/>
        <family val="2"/>
      </rPr>
      <t xml:space="preserve"> / 2 )</t>
    </r>
  </si>
  <si>
    <r>
      <t>^ d</t>
    </r>
    <r>
      <rPr>
        <b/>
        <sz val="10"/>
        <rFont val="Calibri"/>
        <family val="2"/>
      </rPr>
      <t>⁵   *   h</t>
    </r>
  </si>
  <si>
    <t xml:space="preserve">   = INSERT </t>
  </si>
  <si>
    <t xml:space="preserve">   = CALCULATED</t>
  </si>
  <si>
    <t>GAS to be BETWEEN 6 - 9 m/sec</t>
  </si>
  <si>
    <t>AVALIABLE GAS</t>
  </si>
  <si>
    <r>
      <t>m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/hour</t>
    </r>
  </si>
  <si>
    <t xml:space="preserve">AVAILABLE GAS for length of Pipe </t>
  </si>
  <si>
    <t>NOTE          TRANSCO  MAX operating pressures</t>
  </si>
  <si>
    <t xml:space="preserve">MAX YELLOW  pipe ,. PE100 = 7 bar (100psi)  or PE 80 = 5 Bar g  (80psi) </t>
  </si>
  <si>
    <t>EXCEPT at the WELL HEAD and some onshore sites</t>
  </si>
  <si>
    <t>Where pressures can be 75 to 90 barg -use of covered</t>
  </si>
  <si>
    <t>CARBON STEEL  to CW6  TRANSCO SPEC</t>
  </si>
  <si>
    <t>NOTES  :-  OPERATING PRESSURE  =  approx 5 - 7 bar (g)    = 7000 mbar</t>
  </si>
  <si>
    <t>MAX loss = 700 mbar  = 10%</t>
  </si>
  <si>
    <t>SUPPLY PRESSURE</t>
  </si>
  <si>
    <t>Inside building</t>
  </si>
  <si>
    <t>AT ALMARAI = 1.5 bar(g)  to 1 bar(g)</t>
  </si>
  <si>
    <t>Not to exceed MAX loss 100  mbar  =  10%  inside building</t>
  </si>
  <si>
    <t>propane</t>
  </si>
  <si>
    <t>70% propane</t>
  </si>
  <si>
    <t xml:space="preserve">GAS  AT  1  BAR  (1000 mbar) </t>
  </si>
  <si>
    <t xml:space="preserve">GAS  AT  max - 1  BAR  (1000 mbar) </t>
  </si>
  <si>
    <t>Convert kW to m3/hour</t>
  </si>
  <si>
    <t>kW /  CV(38.7)  * 3.6</t>
  </si>
  <si>
    <t>Convert m3/hour to kW</t>
  </si>
  <si>
    <t>m3/hour /  3.6   *   CV(38.7)</t>
  </si>
  <si>
    <t xml:space="preserve">kW </t>
  </si>
  <si>
    <t>PROPANE 1.32</t>
  </si>
  <si>
    <t>nat gas  0.75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</si>
</sst>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E+00"/>
    <numFmt numFmtId="166" formatCode="0.0000"/>
    <numFmt numFmtId="167" formatCode="0.000"/>
    <numFmt numFmtId="168" formatCode="0.0"/>
    <numFmt numFmtId="169" formatCode="0.0E+00"/>
    <numFmt numFmtId="170" formatCode="0.000000"/>
    <numFmt numFmtId="171" formatCode="0.0000000"/>
    <numFmt numFmtId="172" formatCode="0.00000000"/>
    <numFmt numFmtId="173" formatCode="0.000000000"/>
    <numFmt numFmtId="174" formatCode="0E+00"/>
    <numFmt numFmtId="175" formatCode="0.0000E+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0">
    <font>
      <sz val="10"/>
      <name val="Arial"/>
      <family val="0"/>
    </font>
    <font>
      <sz val="10"/>
      <name val="Times New Roman"/>
      <family val="1"/>
    </font>
    <font>
      <sz val="8"/>
      <name val="Tahoma"/>
      <family val="0"/>
    </font>
    <font>
      <b/>
      <sz val="10"/>
      <name val="Verdana"/>
      <family val="2"/>
    </font>
    <font>
      <b/>
      <sz val="16"/>
      <name val="Verdana"/>
      <family val="2"/>
    </font>
    <font>
      <b/>
      <sz val="8"/>
      <name val="Tahoma"/>
      <family val="0"/>
    </font>
    <font>
      <sz val="11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sz val="13.5"/>
      <name val="Arial"/>
      <family val="2"/>
    </font>
    <font>
      <b/>
      <i/>
      <sz val="10"/>
      <name val="Arial"/>
      <family val="2"/>
    </font>
    <font>
      <i/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i/>
      <vertAlign val="subscript"/>
      <sz val="10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6"/>
      <name val="Calibri"/>
      <family val="2"/>
    </font>
    <font>
      <b/>
      <sz val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u val="single"/>
      <sz val="11"/>
      <name val="Arial"/>
      <family val="2"/>
    </font>
    <font>
      <u val="single"/>
      <sz val="18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color indexed="56"/>
      <name val="Arial"/>
      <family val="2"/>
    </font>
    <font>
      <sz val="11"/>
      <color indexed="56"/>
      <name val="Arial"/>
      <family val="2"/>
    </font>
    <font>
      <u val="single"/>
      <sz val="10"/>
      <color indexed="56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theme="3"/>
      <name val="Arial"/>
      <family val="2"/>
    </font>
    <font>
      <sz val="11"/>
      <color theme="3"/>
      <name val="Arial"/>
      <family val="2"/>
    </font>
    <font>
      <u val="single"/>
      <sz val="10"/>
      <color theme="3"/>
      <name val="Arial"/>
      <family val="2"/>
    </font>
    <font>
      <b/>
      <sz val="16"/>
      <color rgb="FFFF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>
        <color rgb="FFCCCCCC"/>
      </left>
      <right style="medium">
        <color rgb="FFCCCCCC"/>
      </right>
      <top>
        <color indexed="63"/>
      </top>
      <bottom>
        <color indexed="63"/>
      </bottom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thick">
        <color rgb="FFC0C0C0"/>
      </left>
      <right style="medium">
        <color rgb="FFCCCCCC"/>
      </right>
      <top style="thick">
        <color rgb="FFC0C0C0"/>
      </top>
      <bottom>
        <color indexed="63"/>
      </bottom>
    </border>
    <border>
      <left style="medium">
        <color rgb="FFCCCCCC"/>
      </left>
      <right style="medium">
        <color rgb="FFCCCCCC"/>
      </right>
      <top style="thick">
        <color rgb="FFC0C0C0"/>
      </top>
      <bottom>
        <color indexed="63"/>
      </bottom>
    </border>
    <border>
      <left style="medium">
        <color rgb="FFCCCCCC"/>
      </left>
      <right style="thick">
        <color rgb="FFC0C0C0"/>
      </right>
      <top style="thick">
        <color rgb="FFC0C0C0"/>
      </top>
      <bottom>
        <color indexed="63"/>
      </bottom>
    </border>
    <border>
      <left style="thick">
        <color rgb="FFC0C0C0"/>
      </left>
      <right style="medium">
        <color rgb="FFCCCCCC"/>
      </right>
      <top>
        <color indexed="63"/>
      </top>
      <bottom>
        <color indexed="63"/>
      </bottom>
    </border>
    <border>
      <left style="medium">
        <color rgb="FFCCCCCC"/>
      </left>
      <right style="thick">
        <color rgb="FFC0C0C0"/>
      </right>
      <top>
        <color indexed="63"/>
      </top>
      <bottom>
        <color indexed="63"/>
      </bottom>
    </border>
    <border>
      <left style="thick">
        <color rgb="FFC0C0C0"/>
      </left>
      <right style="medium">
        <color rgb="FFCCCCCC"/>
      </right>
      <top>
        <color indexed="63"/>
      </top>
      <bottom style="medium">
        <color rgb="FFCCCCCC"/>
      </bottom>
    </border>
    <border>
      <left style="medium">
        <color rgb="FFCCCCCC"/>
      </left>
      <right style="thick">
        <color rgb="FFC0C0C0"/>
      </right>
      <top>
        <color indexed="63"/>
      </top>
      <bottom style="medium">
        <color rgb="FFCCCCCC"/>
      </bottom>
    </border>
    <border>
      <left style="thick">
        <color rgb="FFC0C0C0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thick">
        <color rgb="FFC0C0C0"/>
      </right>
      <top style="medium">
        <color rgb="FFCCCCCC"/>
      </top>
      <bottom style="medium">
        <color rgb="FFCCCCCC"/>
      </bottom>
    </border>
    <border>
      <left style="thick">
        <color rgb="FFC0C0C0"/>
      </left>
      <right style="medium">
        <color rgb="FFCCCCCC"/>
      </right>
      <top style="medium">
        <color rgb="FFCCCCCC"/>
      </top>
      <bottom style="thick">
        <color rgb="FFC0C0C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C0C0C0"/>
      </bottom>
    </border>
    <border>
      <left style="medium">
        <color rgb="FFCCCCCC"/>
      </left>
      <right style="thick">
        <color rgb="FFC0C0C0"/>
      </right>
      <top style="medium">
        <color rgb="FFCCCCCC"/>
      </top>
      <bottom style="thick">
        <color rgb="FFC0C0C0"/>
      </bottom>
    </border>
    <border>
      <left style="thick">
        <color rgb="FFC0C0C0"/>
      </left>
      <right style="thick">
        <color rgb="FFC0C0C0"/>
      </right>
      <top style="thick">
        <color rgb="FFC0C0C0"/>
      </top>
      <bottom style="thick">
        <color rgb="FFC0C0C0"/>
      </bottom>
    </border>
    <border>
      <left style="medium">
        <color rgb="FFC0C0C0"/>
      </left>
      <right style="medium">
        <color rgb="FFC0C0C0"/>
      </right>
      <top>
        <color indexed="63"/>
      </top>
      <bottom style="medium">
        <color rgb="FFC0C0C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>
        <color indexed="63"/>
      </bottom>
    </border>
    <border>
      <left style="medium">
        <color rgb="FFC0C0C0"/>
      </left>
      <right style="medium">
        <color rgb="FFC0C0C0"/>
      </right>
      <top style="thick">
        <color rgb="FFC0C0C0"/>
      </top>
      <bottom>
        <color indexed="63"/>
      </bottom>
    </border>
    <border>
      <left style="medium">
        <color rgb="FFCCCCCC"/>
      </left>
      <right style="thick">
        <color rgb="FFC0C0C0"/>
      </right>
      <top style="medium">
        <color rgb="FFCCCCCC"/>
      </top>
      <bottom>
        <color indexed="63"/>
      </bottom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</border>
    <border>
      <left style="medium">
        <color rgb="FFC0C0C0"/>
      </left>
      <right style="thick">
        <color rgb="FFC0C0C0"/>
      </right>
      <top style="medium">
        <color rgb="FFC0C0C0"/>
      </top>
      <bottom style="medium">
        <color rgb="FFC0C0C0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>
        <color rgb="FFC0C0C0"/>
      </left>
      <right style="medium">
        <color rgb="FFCCCCCC"/>
      </right>
      <top style="medium">
        <color rgb="FFCCCCCC"/>
      </top>
      <bottom>
        <color indexed="63"/>
      </bottom>
    </border>
    <border>
      <left style="thick">
        <color rgb="FFC0C0C0"/>
      </left>
      <right>
        <color indexed="63"/>
      </right>
      <top style="thick">
        <color rgb="FFC0C0C0"/>
      </top>
      <bottom>
        <color indexed="63"/>
      </bottom>
    </border>
    <border>
      <left>
        <color indexed="63"/>
      </left>
      <right style="medium">
        <color rgb="FFC0C0C0"/>
      </right>
      <top style="thick">
        <color rgb="FFC0C0C0"/>
      </top>
      <bottom>
        <color indexed="63"/>
      </bottom>
    </border>
    <border>
      <left style="thick">
        <color rgb="FFC0C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0C0C0"/>
      </right>
      <top>
        <color indexed="63"/>
      </top>
      <bottom>
        <color indexed="63"/>
      </bottom>
    </border>
    <border>
      <left style="thick">
        <color rgb="FFC0C0C0"/>
      </left>
      <right>
        <color indexed="63"/>
      </right>
      <top>
        <color indexed="63"/>
      </top>
      <bottom style="medium">
        <color rgb="FFC0C0C0"/>
      </bottom>
    </border>
    <border>
      <left>
        <color indexed="63"/>
      </left>
      <right style="medium">
        <color rgb="FFC0C0C0"/>
      </right>
      <top>
        <color indexed="63"/>
      </top>
      <bottom style="medium">
        <color rgb="FFC0C0C0"/>
      </bottom>
    </border>
    <border>
      <left style="medium">
        <color rgb="FFC0C0C0"/>
      </left>
      <right>
        <color indexed="63"/>
      </right>
      <top style="thick">
        <color rgb="FFC0C0C0"/>
      </top>
      <bottom>
        <color indexed="63"/>
      </bottom>
    </border>
    <border>
      <left>
        <color indexed="63"/>
      </left>
      <right style="thick">
        <color rgb="FFC0C0C0"/>
      </right>
      <top style="thick">
        <color rgb="FFC0C0C0"/>
      </top>
      <bottom>
        <color indexed="63"/>
      </bottom>
    </border>
    <border>
      <left style="medium">
        <color rgb="FFC0C0C0"/>
      </left>
      <right>
        <color indexed="63"/>
      </right>
      <top>
        <color indexed="63"/>
      </top>
      <bottom style="medium">
        <color rgb="FFC0C0C0"/>
      </bottom>
    </border>
    <border>
      <left>
        <color indexed="63"/>
      </left>
      <right style="thick">
        <color rgb="FFC0C0C0"/>
      </right>
      <top>
        <color indexed="63"/>
      </top>
      <bottom style="medium">
        <color rgb="FFC0C0C0"/>
      </bottom>
    </border>
    <border>
      <left style="thick">
        <color rgb="FFC0C0C0"/>
      </left>
      <right style="medium">
        <color rgb="FFC0C0C0"/>
      </right>
      <top style="thick">
        <color rgb="FFC0C0C0"/>
      </top>
      <bottom>
        <color indexed="63"/>
      </bottom>
    </border>
    <border>
      <left style="thick">
        <color rgb="FFC0C0C0"/>
      </left>
      <right style="medium">
        <color rgb="FFC0C0C0"/>
      </right>
      <top>
        <color indexed="63"/>
      </top>
      <bottom style="medium">
        <color rgb="FFC0C0C0"/>
      </bottom>
    </border>
    <border>
      <left style="medium">
        <color rgb="FFC0C0C0"/>
      </left>
      <right>
        <color indexed="63"/>
      </right>
      <top style="thick">
        <color rgb="FFC0C0C0"/>
      </top>
      <bottom style="medium">
        <color rgb="FFC0C0C0"/>
      </bottom>
    </border>
    <border>
      <left>
        <color indexed="63"/>
      </left>
      <right style="thick">
        <color rgb="FFC0C0C0"/>
      </right>
      <top style="thick">
        <color rgb="FFC0C0C0"/>
      </top>
      <bottom style="medium">
        <color rgb="FFC0C0C0"/>
      </bottom>
    </border>
    <border>
      <left style="thick">
        <color rgb="FFC0C0C0"/>
      </left>
      <right style="medium">
        <color rgb="FFCCCCCC"/>
      </right>
      <top style="medium">
        <color rgb="FFC0C0C0"/>
      </top>
      <bottom>
        <color indexed="63"/>
      </bottom>
    </border>
    <border>
      <left style="medium">
        <color rgb="FFCCCCCC"/>
      </left>
      <right style="medium">
        <color rgb="FFCCCCCC"/>
      </right>
      <top style="medium">
        <color rgb="FFC0C0C0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2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1" fontId="0" fillId="34" borderId="0" xfId="0" applyNumberFormat="1" applyFill="1" applyBorder="1" applyAlignment="1">
      <alignment/>
    </xf>
    <xf numFmtId="169" fontId="0" fillId="34" borderId="0" xfId="0" applyNumberFormat="1" applyFill="1" applyBorder="1" applyAlignment="1">
      <alignment/>
    </xf>
    <xf numFmtId="166" fontId="0" fillId="34" borderId="0" xfId="0" applyNumberFormat="1" applyFill="1" applyBorder="1" applyAlignment="1">
      <alignment/>
    </xf>
    <xf numFmtId="2" fontId="0" fillId="34" borderId="0" xfId="0" applyNumberFormat="1" applyFill="1" applyBorder="1" applyAlignment="1">
      <alignment/>
    </xf>
    <xf numFmtId="0" fontId="1" fillId="0" borderId="0" xfId="0" applyFont="1" applyAlignment="1">
      <alignment vertical="center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35" borderId="0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vertical="center"/>
    </xf>
    <xf numFmtId="0" fontId="1" fillId="35" borderId="0" xfId="0" applyFont="1" applyFill="1" applyBorder="1" applyAlignment="1">
      <alignment horizontal="center" vertical="center" wrapText="1"/>
    </xf>
    <xf numFmtId="2" fontId="1" fillId="35" borderId="0" xfId="0" applyNumberFormat="1" applyFont="1" applyFill="1" applyBorder="1" applyAlignment="1">
      <alignment horizontal="center" vertical="center"/>
    </xf>
    <xf numFmtId="171" fontId="1" fillId="35" borderId="0" xfId="0" applyNumberFormat="1" applyFont="1" applyFill="1" applyBorder="1" applyAlignment="1">
      <alignment horizontal="center" vertic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167" fontId="0" fillId="35" borderId="0" xfId="0" applyNumberFormat="1" applyFill="1" applyBorder="1" applyAlignment="1">
      <alignment/>
    </xf>
    <xf numFmtId="0" fontId="4" fillId="34" borderId="14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 horizontal="left"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5" borderId="0" xfId="0" applyFill="1" applyBorder="1" applyAlignment="1">
      <alignment horizontal="right"/>
    </xf>
    <xf numFmtId="2" fontId="0" fillId="35" borderId="0" xfId="0" applyNumberFormat="1" applyFill="1" applyBorder="1" applyAlignment="1">
      <alignment/>
    </xf>
    <xf numFmtId="169" fontId="0" fillId="35" borderId="0" xfId="0" applyNumberFormat="1" applyFill="1" applyBorder="1" applyAlignment="1">
      <alignment/>
    </xf>
    <xf numFmtId="166" fontId="0" fillId="35" borderId="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1" fillId="36" borderId="19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vertical="center" wrapText="1"/>
    </xf>
    <xf numFmtId="0" fontId="1" fillId="36" borderId="21" xfId="0" applyFont="1" applyFill="1" applyBorder="1" applyAlignment="1">
      <alignment vertical="center"/>
    </xf>
    <xf numFmtId="0" fontId="1" fillId="36" borderId="22" xfId="0" applyFont="1" applyFill="1" applyBorder="1" applyAlignment="1">
      <alignment horizontal="center" vertical="center"/>
    </xf>
    <xf numFmtId="0" fontId="1" fillId="36" borderId="23" xfId="0" applyFont="1" applyFill="1" applyBorder="1" applyAlignment="1">
      <alignment vertical="center"/>
    </xf>
    <xf numFmtId="0" fontId="1" fillId="36" borderId="24" xfId="0" applyFont="1" applyFill="1" applyBorder="1" applyAlignment="1">
      <alignment horizontal="center" vertical="center"/>
    </xf>
    <xf numFmtId="0" fontId="1" fillId="36" borderId="25" xfId="0" applyFont="1" applyFill="1" applyBorder="1" applyAlignment="1">
      <alignment vertical="center"/>
    </xf>
    <xf numFmtId="0" fontId="1" fillId="36" borderId="26" xfId="0" applyFont="1" applyFill="1" applyBorder="1" applyAlignment="1">
      <alignment horizontal="center" vertical="center"/>
    </xf>
    <xf numFmtId="0" fontId="1" fillId="36" borderId="27" xfId="0" applyFont="1" applyFill="1" applyBorder="1" applyAlignment="1">
      <alignment horizontal="center" vertical="center"/>
    </xf>
    <xf numFmtId="0" fontId="1" fillId="36" borderId="23" xfId="0" applyFont="1" applyFill="1" applyBorder="1" applyAlignment="1">
      <alignment horizontal="center" vertical="center"/>
    </xf>
    <xf numFmtId="2" fontId="1" fillId="36" borderId="24" xfId="0" applyNumberFormat="1" applyFont="1" applyFill="1" applyBorder="1" applyAlignment="1">
      <alignment horizontal="center" vertical="center"/>
    </xf>
    <xf numFmtId="171" fontId="1" fillId="36" borderId="26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vertical="center"/>
    </xf>
    <xf numFmtId="164" fontId="1" fillId="36" borderId="24" xfId="0" applyNumberFormat="1" applyFont="1" applyFill="1" applyBorder="1" applyAlignment="1">
      <alignment horizontal="center" vertical="center"/>
    </xf>
    <xf numFmtId="165" fontId="1" fillId="36" borderId="26" xfId="0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/>
    </xf>
    <xf numFmtId="0" fontId="0" fillId="37" borderId="10" xfId="0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7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vertical="center"/>
    </xf>
    <xf numFmtId="165" fontId="7" fillId="35" borderId="0" xfId="0" applyNumberFormat="1" applyFont="1" applyFill="1" applyBorder="1" applyAlignment="1">
      <alignment horizontal="center" vertical="center"/>
    </xf>
    <xf numFmtId="0" fontId="7" fillId="13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166" fontId="0" fillId="37" borderId="0" xfId="0" applyNumberFormat="1" applyFill="1" applyBorder="1" applyAlignment="1">
      <alignment/>
    </xf>
    <xf numFmtId="0" fontId="7" fillId="13" borderId="0" xfId="0" applyFont="1" applyFill="1" applyBorder="1" applyAlignment="1">
      <alignment horizontal="center" vertical="center"/>
    </xf>
    <xf numFmtId="0" fontId="4" fillId="18" borderId="14" xfId="0" applyFont="1" applyFill="1" applyBorder="1" applyAlignment="1">
      <alignment/>
    </xf>
    <xf numFmtId="0" fontId="0" fillId="18" borderId="0" xfId="0" applyFill="1" applyAlignment="1">
      <alignment/>
    </xf>
    <xf numFmtId="0" fontId="0" fillId="9" borderId="0" xfId="0" applyFill="1" applyAlignment="1">
      <alignment/>
    </xf>
    <xf numFmtId="2" fontId="7" fillId="13" borderId="0" xfId="0" applyNumberFormat="1" applyFont="1" applyFill="1" applyAlignment="1">
      <alignment/>
    </xf>
    <xf numFmtId="0" fontId="7" fillId="37" borderId="0" xfId="0" applyFont="1" applyFill="1" applyBorder="1" applyAlignment="1">
      <alignment horizontal="center" vertical="center"/>
    </xf>
    <xf numFmtId="0" fontId="66" fillId="0" borderId="0" xfId="53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66" fillId="0" borderId="33" xfId="53" applyBorder="1" applyAlignment="1">
      <alignment horizontal="center" vertical="center" wrapText="1"/>
    </xf>
    <xf numFmtId="0" fontId="66" fillId="0" borderId="34" xfId="53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2" fontId="7" fillId="13" borderId="0" xfId="0" applyNumberFormat="1" applyFont="1" applyFill="1" applyBorder="1" applyAlignment="1">
      <alignment horizontal="center" vertical="center" wrapText="1"/>
    </xf>
    <xf numFmtId="0" fontId="7" fillId="13" borderId="0" xfId="0" applyFont="1" applyFill="1" applyAlignment="1">
      <alignment/>
    </xf>
    <xf numFmtId="0" fontId="74" fillId="35" borderId="0" xfId="0" applyFont="1" applyFill="1" applyBorder="1" applyAlignment="1">
      <alignment/>
    </xf>
    <xf numFmtId="0" fontId="9" fillId="0" borderId="0" xfId="0" applyFont="1" applyAlignment="1">
      <alignment vertical="center"/>
    </xf>
    <xf numFmtId="0" fontId="66" fillId="0" borderId="32" xfId="53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38" borderId="0" xfId="0" applyFill="1" applyAlignment="1">
      <alignment/>
    </xf>
    <xf numFmtId="0" fontId="66" fillId="38" borderId="0" xfId="53" applyFill="1" applyAlignment="1">
      <alignment horizontal="left" vertical="center" inden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5" fillId="0" borderId="44" xfId="0" applyFont="1" applyBorder="1" applyAlignment="1">
      <alignment horizontal="left" vertical="center"/>
    </xf>
    <xf numFmtId="0" fontId="75" fillId="0" borderId="0" xfId="0" applyFont="1" applyAlignment="1">
      <alignment/>
    </xf>
    <xf numFmtId="0" fontId="76" fillId="0" borderId="0" xfId="0" applyFont="1" applyFill="1" applyBorder="1" applyAlignment="1">
      <alignment/>
    </xf>
    <xf numFmtId="0" fontId="77" fillId="0" borderId="0" xfId="53" applyFont="1" applyAlignment="1">
      <alignment vertical="center"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45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0" fillId="35" borderId="15" xfId="0" applyFill="1" applyBorder="1" applyAlignment="1">
      <alignment/>
    </xf>
    <xf numFmtId="0" fontId="7" fillId="35" borderId="15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8" borderId="0" xfId="0" applyFont="1" applyFill="1" applyAlignment="1">
      <alignment/>
    </xf>
    <xf numFmtId="0" fontId="0" fillId="37" borderId="0" xfId="0" applyFill="1" applyAlignment="1">
      <alignment/>
    </xf>
    <xf numFmtId="0" fontId="0" fillId="38" borderId="51" xfId="0" applyFont="1" applyFill="1" applyBorder="1" applyAlignment="1">
      <alignment/>
    </xf>
    <xf numFmtId="0" fontId="0" fillId="13" borderId="0" xfId="0" applyFill="1" applyAlignment="1">
      <alignment/>
    </xf>
    <xf numFmtId="2" fontId="0" fillId="13" borderId="0" xfId="0" applyNumberFormat="1" applyFill="1" applyAlignment="1">
      <alignment/>
    </xf>
    <xf numFmtId="0" fontId="7" fillId="3" borderId="0" xfId="0" applyFont="1" applyFill="1" applyAlignment="1">
      <alignment/>
    </xf>
    <xf numFmtId="0" fontId="0" fillId="38" borderId="0" xfId="0" applyFill="1" applyBorder="1" applyAlignment="1">
      <alignment/>
    </xf>
    <xf numFmtId="0" fontId="7" fillId="38" borderId="0" xfId="0" applyFont="1" applyFill="1" applyBorder="1" applyAlignment="1">
      <alignment/>
    </xf>
    <xf numFmtId="0" fontId="0" fillId="38" borderId="0" xfId="0" applyFill="1" applyBorder="1" applyAlignment="1">
      <alignment horizontal="left"/>
    </xf>
    <xf numFmtId="2" fontId="7" fillId="37" borderId="0" xfId="0" applyNumberFormat="1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/>
    </xf>
    <xf numFmtId="0" fontId="0" fillId="39" borderId="0" xfId="0" applyFont="1" applyFill="1" applyAlignment="1">
      <alignment/>
    </xf>
    <xf numFmtId="0" fontId="0" fillId="39" borderId="0" xfId="0" applyFill="1" applyAlignment="1">
      <alignment/>
    </xf>
    <xf numFmtId="0" fontId="7" fillId="39" borderId="0" xfId="0" applyFont="1" applyFill="1" applyAlignment="1">
      <alignment/>
    </xf>
    <xf numFmtId="0" fontId="19" fillId="39" borderId="0" xfId="0" applyFont="1" applyFill="1" applyAlignment="1">
      <alignment/>
    </xf>
    <xf numFmtId="0" fontId="7" fillId="17" borderId="0" xfId="0" applyFont="1" applyFill="1" applyAlignment="1">
      <alignment/>
    </xf>
    <xf numFmtId="2" fontId="7" fillId="17" borderId="0" xfId="0" applyNumberFormat="1" applyFont="1" applyFill="1" applyAlignment="1">
      <alignment/>
    </xf>
    <xf numFmtId="0" fontId="0" fillId="17" borderId="0" xfId="0" applyFont="1" applyFill="1" applyAlignment="1">
      <alignment/>
    </xf>
    <xf numFmtId="0" fontId="7" fillId="35" borderId="11" xfId="0" applyFont="1" applyFill="1" applyBorder="1" applyAlignment="1">
      <alignment/>
    </xf>
    <xf numFmtId="0" fontId="21" fillId="35" borderId="12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19" fillId="35" borderId="0" xfId="0" applyFont="1" applyFill="1" applyBorder="1" applyAlignment="1">
      <alignment/>
    </xf>
    <xf numFmtId="0" fontId="7" fillId="35" borderId="16" xfId="0" applyFont="1" applyFill="1" applyBorder="1" applyAlignment="1">
      <alignment/>
    </xf>
    <xf numFmtId="0" fontId="7" fillId="35" borderId="17" xfId="0" applyFont="1" applyFill="1" applyBorder="1" applyAlignment="1">
      <alignment/>
    </xf>
    <xf numFmtId="0" fontId="7" fillId="35" borderId="18" xfId="0" applyFont="1" applyFill="1" applyBorder="1" applyAlignment="1">
      <alignment/>
    </xf>
    <xf numFmtId="0" fontId="78" fillId="35" borderId="0" xfId="0" applyFont="1" applyFill="1" applyAlignment="1">
      <alignment/>
    </xf>
    <xf numFmtId="0" fontId="19" fillId="35" borderId="0" xfId="0" applyFont="1" applyFill="1" applyAlignment="1">
      <alignment/>
    </xf>
    <xf numFmtId="0" fontId="20" fillId="35" borderId="0" xfId="0" applyFont="1" applyFill="1" applyAlignment="1">
      <alignment/>
    </xf>
    <xf numFmtId="0" fontId="20" fillId="35" borderId="0" xfId="0" applyFont="1" applyFill="1" applyBorder="1" applyAlignment="1">
      <alignment/>
    </xf>
    <xf numFmtId="0" fontId="8" fillId="38" borderId="0" xfId="0" applyFont="1" applyFill="1" applyAlignment="1">
      <alignment/>
    </xf>
    <xf numFmtId="0" fontId="8" fillId="38" borderId="52" xfId="0" applyFont="1" applyFill="1" applyBorder="1" applyAlignment="1">
      <alignment/>
    </xf>
    <xf numFmtId="0" fontId="8" fillId="38" borderId="51" xfId="0" applyFont="1" applyFill="1" applyBorder="1" applyAlignment="1">
      <alignment/>
    </xf>
    <xf numFmtId="2" fontId="7" fillId="13" borderId="0" xfId="0" applyNumberFormat="1" applyFont="1" applyFill="1" applyAlignment="1">
      <alignment horizontal="center"/>
    </xf>
    <xf numFmtId="0" fontId="7" fillId="35" borderId="0" xfId="0" applyFont="1" applyFill="1" applyAlignment="1">
      <alignment horizontal="center"/>
    </xf>
    <xf numFmtId="0" fontId="19" fillId="35" borderId="12" xfId="0" applyFont="1" applyFill="1" applyBorder="1" applyAlignment="1">
      <alignment/>
    </xf>
    <xf numFmtId="0" fontId="19" fillId="35" borderId="13" xfId="0" applyFont="1" applyFill="1" applyBorder="1" applyAlignment="1">
      <alignment/>
    </xf>
    <xf numFmtId="0" fontId="0" fillId="35" borderId="17" xfId="0" applyFill="1" applyBorder="1" applyAlignment="1">
      <alignment/>
    </xf>
    <xf numFmtId="0" fontId="7" fillId="37" borderId="0" xfId="0" applyFont="1" applyFill="1" applyBorder="1" applyAlignment="1">
      <alignment/>
    </xf>
    <xf numFmtId="0" fontId="0" fillId="13" borderId="0" xfId="0" applyFill="1" applyBorder="1" applyAlignment="1">
      <alignment/>
    </xf>
    <xf numFmtId="0" fontId="7" fillId="13" borderId="15" xfId="0" applyFont="1" applyFill="1" applyBorder="1" applyAlignment="1">
      <alignment/>
    </xf>
    <xf numFmtId="0" fontId="0" fillId="0" borderId="3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7" fillId="38" borderId="18" xfId="0" applyFont="1" applyFill="1" applyBorder="1" applyAlignment="1">
      <alignment/>
    </xf>
    <xf numFmtId="0" fontId="0" fillId="2" borderId="0" xfId="0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0" fillId="2" borderId="15" xfId="0" applyFill="1" applyBorder="1" applyAlignment="1">
      <alignment horizontal="left"/>
    </xf>
    <xf numFmtId="0" fontId="8" fillId="17" borderId="11" xfId="0" applyFont="1" applyFill="1" applyBorder="1" applyAlignment="1">
      <alignment/>
    </xf>
    <xf numFmtId="0" fontId="8" fillId="17" borderId="13" xfId="0" applyFont="1" applyFill="1" applyBorder="1" applyAlignment="1">
      <alignment/>
    </xf>
    <xf numFmtId="0" fontId="8" fillId="38" borderId="16" xfId="0" applyFont="1" applyFill="1" applyBorder="1" applyAlignment="1">
      <alignment/>
    </xf>
    <xf numFmtId="0" fontId="8" fillId="17" borderId="17" xfId="0" applyFont="1" applyFill="1" applyBorder="1" applyAlignment="1">
      <alignment/>
    </xf>
    <xf numFmtId="0" fontId="8" fillId="17" borderId="18" xfId="0" applyFont="1" applyFill="1" applyBorder="1" applyAlignment="1">
      <alignment/>
    </xf>
    <xf numFmtId="0" fontId="24" fillId="3" borderId="0" xfId="0" applyFont="1" applyFill="1" applyAlignment="1">
      <alignment/>
    </xf>
    <xf numFmtId="0" fontId="25" fillId="9" borderId="0" xfId="0" applyFont="1" applyFill="1" applyAlignment="1">
      <alignment/>
    </xf>
    <xf numFmtId="0" fontId="0" fillId="16" borderId="0" xfId="0" applyFont="1" applyFill="1" applyAlignment="1">
      <alignment/>
    </xf>
    <xf numFmtId="0" fontId="0" fillId="16" borderId="0" xfId="0" applyFill="1" applyAlignment="1">
      <alignment/>
    </xf>
    <xf numFmtId="0" fontId="25" fillId="35" borderId="0" xfId="0" applyFont="1" applyFill="1" applyBorder="1" applyAlignment="1">
      <alignment/>
    </xf>
    <xf numFmtId="0" fontId="25" fillId="35" borderId="0" xfId="0" applyFont="1" applyFill="1" applyBorder="1" applyAlignment="1">
      <alignment vertical="center"/>
    </xf>
    <xf numFmtId="0" fontId="25" fillId="3" borderId="0" xfId="0" applyFont="1" applyFill="1" applyAlignment="1">
      <alignment/>
    </xf>
    <xf numFmtId="0" fontId="26" fillId="3" borderId="0" xfId="0" applyFont="1" applyFill="1" applyAlignment="1">
      <alignment horizontal="center" vertical="center"/>
    </xf>
    <xf numFmtId="4" fontId="8" fillId="17" borderId="12" xfId="0" applyNumberFormat="1" applyFont="1" applyFill="1" applyBorder="1" applyAlignment="1">
      <alignment/>
    </xf>
    <xf numFmtId="0" fontId="27" fillId="35" borderId="0" xfId="0" applyFont="1" applyFill="1" applyBorder="1" applyAlignment="1">
      <alignment/>
    </xf>
    <xf numFmtId="0" fontId="28" fillId="35" borderId="0" xfId="0" applyFont="1" applyFill="1" applyBorder="1" applyAlignment="1">
      <alignment/>
    </xf>
    <xf numFmtId="0" fontId="28" fillId="35" borderId="0" xfId="0" applyFont="1" applyFill="1" applyAlignment="1">
      <alignment horizontal="center"/>
    </xf>
    <xf numFmtId="0" fontId="28" fillId="35" borderId="0" xfId="0" applyFont="1" applyFill="1" applyAlignment="1">
      <alignment/>
    </xf>
    <xf numFmtId="0" fontId="28" fillId="35" borderId="15" xfId="0" applyFont="1" applyFill="1" applyBorder="1" applyAlignment="1">
      <alignment/>
    </xf>
    <xf numFmtId="0" fontId="20" fillId="0" borderId="0" xfId="0" applyFont="1" applyAlignment="1">
      <alignment/>
    </xf>
    <xf numFmtId="0" fontId="26" fillId="9" borderId="0" xfId="0" applyFont="1" applyFill="1" applyAlignment="1">
      <alignment/>
    </xf>
    <xf numFmtId="0" fontId="26" fillId="9" borderId="0" xfId="0" applyFont="1" applyFill="1" applyAlignment="1">
      <alignment horizontal="center" vertical="center"/>
    </xf>
    <xf numFmtId="0" fontId="29" fillId="9" borderId="0" xfId="0" applyFont="1" applyFill="1" applyAlignment="1">
      <alignment/>
    </xf>
    <xf numFmtId="0" fontId="19" fillId="35" borderId="11" xfId="0" applyFont="1" applyFill="1" applyBorder="1" applyAlignment="1">
      <alignment/>
    </xf>
    <xf numFmtId="0" fontId="7" fillId="13" borderId="14" xfId="0" applyFont="1" applyFill="1" applyBorder="1" applyAlignment="1">
      <alignment/>
    </xf>
    <xf numFmtId="0" fontId="19" fillId="38" borderId="15" xfId="0" applyFont="1" applyFill="1" applyBorder="1" applyAlignment="1">
      <alignment/>
    </xf>
    <xf numFmtId="0" fontId="0" fillId="38" borderId="0" xfId="0" applyFill="1" applyBorder="1" applyAlignment="1">
      <alignment horizontal="right"/>
    </xf>
    <xf numFmtId="0" fontId="30" fillId="38" borderId="0" xfId="0" applyFont="1" applyFill="1" applyAlignment="1">
      <alignment/>
    </xf>
    <xf numFmtId="0" fontId="0" fillId="12" borderId="0" xfId="0" applyFill="1" applyAlignment="1">
      <alignment/>
    </xf>
    <xf numFmtId="0" fontId="0" fillId="0" borderId="53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/>
    </xf>
    <xf numFmtId="0" fontId="8" fillId="0" borderId="64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66" fillId="0" borderId="66" xfId="53" applyBorder="1" applyAlignment="1">
      <alignment horizontal="center" vertical="center" wrapText="1"/>
    </xf>
    <xf numFmtId="0" fontId="66" fillId="0" borderId="67" xfId="53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/>
    </xf>
    <xf numFmtId="0" fontId="1" fillId="36" borderId="19" xfId="0" applyFont="1" applyFill="1" applyBorder="1" applyAlignment="1">
      <alignment horizontal="center" vertical="center"/>
    </xf>
    <xf numFmtId="0" fontId="1" fillId="36" borderId="20" xfId="0" applyFont="1" applyFill="1" applyBorder="1" applyAlignment="1">
      <alignment horizontal="center" vertical="center"/>
    </xf>
    <xf numFmtId="0" fontId="1" fillId="36" borderId="23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horizontal="center" vertical="center"/>
    </xf>
    <xf numFmtId="0" fontId="1" fillId="36" borderId="70" xfId="0" applyFont="1" applyFill="1" applyBorder="1" applyAlignment="1">
      <alignment horizontal="center" vertical="center"/>
    </xf>
    <xf numFmtId="0" fontId="1" fillId="36" borderId="71" xfId="0" applyFont="1" applyFill="1" applyBorder="1" applyAlignment="1">
      <alignment horizontal="center" vertical="center"/>
    </xf>
    <xf numFmtId="0" fontId="25" fillId="13" borderId="52" xfId="0" applyFont="1" applyFill="1" applyBorder="1" applyAlignment="1">
      <alignment horizontal="left" vertical="top"/>
    </xf>
    <xf numFmtId="0" fontId="25" fillId="13" borderId="72" xfId="0" applyFont="1" applyFill="1" applyBorder="1" applyAlignment="1">
      <alignment horizontal="right"/>
    </xf>
    <xf numFmtId="0" fontId="25" fillId="13" borderId="73" xfId="0" applyFont="1" applyFill="1" applyBorder="1" applyAlignment="1">
      <alignment/>
    </xf>
    <xf numFmtId="0" fontId="25" fillId="13" borderId="74" xfId="0" applyFont="1" applyFill="1" applyBorder="1" applyAlignment="1">
      <alignment horizontal="left" vertical="center"/>
    </xf>
    <xf numFmtId="0" fontId="25" fillId="13" borderId="75" xfId="0" applyFont="1" applyFill="1" applyBorder="1" applyAlignment="1">
      <alignment horizontal="right"/>
    </xf>
    <xf numFmtId="0" fontId="25" fillId="13" borderId="76" xfId="0" applyFont="1" applyFill="1" applyBorder="1" applyAlignment="1">
      <alignment/>
    </xf>
    <xf numFmtId="0" fontId="25" fillId="13" borderId="0" xfId="0" applyFont="1" applyFill="1" applyBorder="1" applyAlignment="1">
      <alignment horizontal="right"/>
    </xf>
    <xf numFmtId="0" fontId="25" fillId="13" borderId="0" xfId="0" applyFont="1" applyFill="1" applyBorder="1" applyAlignment="1">
      <alignment/>
    </xf>
    <xf numFmtId="0" fontId="0" fillId="13" borderId="0" xfId="0" applyFill="1" applyBorder="1" applyAlignment="1">
      <alignment horizontal="right"/>
    </xf>
    <xf numFmtId="0" fontId="8" fillId="13" borderId="0" xfId="0" applyFont="1" applyFill="1" applyBorder="1" applyAlignment="1">
      <alignment horizontal="right"/>
    </xf>
    <xf numFmtId="0" fontId="18" fillId="13" borderId="15" xfId="0" applyFont="1" applyFill="1" applyBorder="1" applyAlignment="1">
      <alignment horizontal="center"/>
    </xf>
    <xf numFmtId="0" fontId="8" fillId="13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ineeringtoolbox.com/density-specific-weight-gravity-d_290.html" TargetMode="External" /><Relationship Id="rId2" Type="http://schemas.openxmlformats.org/officeDocument/2006/relationships/hyperlink" Target="http://www.engineeringtoolbox.com/density-specific-weight-gravity-d_290.html" TargetMode="External" /><Relationship Id="rId3" Type="http://schemas.openxmlformats.org/officeDocument/2006/relationships/hyperlink" Target="http://www.engineeringtoolbox.com/density-specific-weight-gravity-d_290.html" TargetMode="External" /><Relationship Id="rId4" Type="http://schemas.openxmlformats.org/officeDocument/2006/relationships/hyperlink" Target="http://www.engineeringtoolbox.com/temperature-d_291.html" TargetMode="External" /><Relationship Id="rId5" Type="http://schemas.openxmlformats.org/officeDocument/2006/relationships/hyperlink" Target="http://www.engineeringtoolbox.com/density-specific-weight-gravity-d_290.html" TargetMode="External" /><Relationship Id="rId6" Type="http://schemas.openxmlformats.org/officeDocument/2006/relationships/hyperlink" Target="http://www.engineeringtoolbox.com/density-specific-weight-gravity-d_290.html" TargetMode="External" /><Relationship Id="rId7" Type="http://schemas.openxmlformats.org/officeDocument/2006/relationships/hyperlink" Target="http://www.engineeringtoolbox.com/density-specific-weight-gravity-d_290.html" TargetMode="External" /><Relationship Id="rId8" Type="http://schemas.openxmlformats.org/officeDocument/2006/relationships/hyperlink" Target="http://www.engineeringtoolbox.com/density-specific-weight-gravity-d_290.html" TargetMode="External" /><Relationship Id="rId9" Type="http://schemas.openxmlformats.org/officeDocument/2006/relationships/hyperlink" Target="http://www.engineeringtoolbox.com/density-specific-weight-gravity-d_290.html" TargetMode="External" /><Relationship Id="rId10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7"/>
  <sheetViews>
    <sheetView tabSelected="1" view="pageBreakPreview" zoomScale="80" zoomScaleNormal="80" zoomScaleSheetLayoutView="80" zoomScalePageLayoutView="0" workbookViewId="0" topLeftCell="E1">
      <selection activeCell="E9" sqref="E9"/>
    </sheetView>
  </sheetViews>
  <sheetFormatPr defaultColWidth="9.140625" defaultRowHeight="12.75"/>
  <cols>
    <col min="5" max="5" width="16.7109375" style="0" customWidth="1"/>
    <col min="6" max="6" width="14.57421875" style="0" customWidth="1"/>
    <col min="7" max="7" width="12.421875" style="0" customWidth="1"/>
    <col min="8" max="8" width="14.00390625" style="0" customWidth="1"/>
    <col min="9" max="9" width="11.00390625" style="0" customWidth="1"/>
    <col min="10" max="10" width="9.57421875" style="0" hidden="1" customWidth="1"/>
    <col min="11" max="11" width="5.140625" style="0" hidden="1" customWidth="1"/>
    <col min="12" max="12" width="10.421875" style="0" customWidth="1"/>
    <col min="13" max="13" width="14.8515625" style="0" customWidth="1"/>
    <col min="14" max="14" width="14.57421875" style="0" customWidth="1"/>
    <col min="15" max="15" width="10.00390625" style="0" bestFit="1" customWidth="1"/>
    <col min="16" max="16" width="12.57421875" style="0" customWidth="1"/>
    <col min="17" max="17" width="16.57421875" style="0" bestFit="1" customWidth="1"/>
    <col min="19" max="19" width="15.7109375" style="0" customWidth="1"/>
    <col min="21" max="21" width="12.00390625" style="0" customWidth="1"/>
    <col min="22" max="22" width="9.57421875" style="0" bestFit="1" customWidth="1"/>
    <col min="25" max="25" width="15.00390625" style="0" customWidth="1"/>
    <col min="26" max="26" width="19.7109375" style="0" customWidth="1"/>
    <col min="27" max="27" width="16.421875" style="0" customWidth="1"/>
    <col min="28" max="28" width="20.00390625" style="0" customWidth="1"/>
    <col min="29" max="29" width="14.421875" style="0" customWidth="1"/>
  </cols>
  <sheetData>
    <row r="1" spans="2:29" ht="12.75">
      <c r="B1" s="198"/>
      <c r="C1" s="198"/>
      <c r="D1" s="198"/>
      <c r="E1" s="198"/>
      <c r="F1" s="198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</row>
    <row r="2" spans="2:29" ht="30.75" customHeight="1">
      <c r="B2" s="198"/>
      <c r="C2" s="198"/>
      <c r="D2" s="198"/>
      <c r="E2" s="198"/>
      <c r="F2" s="198"/>
      <c r="G2" s="94"/>
      <c r="H2" s="94"/>
      <c r="I2" s="94"/>
      <c r="J2" s="94"/>
      <c r="K2" s="94"/>
      <c r="L2" s="94"/>
      <c r="M2" s="197" t="s">
        <v>444</v>
      </c>
      <c r="N2" s="197"/>
      <c r="O2" s="94"/>
      <c r="P2" s="94"/>
      <c r="Q2" s="94"/>
      <c r="R2" s="94"/>
      <c r="S2" s="94"/>
      <c r="T2" s="94"/>
      <c r="U2" s="94"/>
      <c r="V2" s="94"/>
      <c r="W2" s="94"/>
      <c r="X2" s="197" t="s">
        <v>443</v>
      </c>
      <c r="Y2" s="148"/>
      <c r="Z2" s="148"/>
      <c r="AA2" s="148"/>
      <c r="AB2" s="94"/>
      <c r="AC2" s="94"/>
    </row>
    <row r="3" spans="1:29" ht="36" customHeight="1" thickBot="1">
      <c r="A3" s="10"/>
      <c r="B3" s="65" t="s">
        <v>27</v>
      </c>
      <c r="C3" s="66"/>
      <c r="D3" s="66"/>
      <c r="E3" s="190" t="s">
        <v>52</v>
      </c>
      <c r="F3" s="191">
        <v>1</v>
      </c>
      <c r="G3" s="94"/>
      <c r="H3" s="192" t="s">
        <v>420</v>
      </c>
      <c r="I3" s="192">
        <v>2</v>
      </c>
      <c r="J3" s="10"/>
      <c r="K3" s="10"/>
      <c r="L3" s="10"/>
      <c r="M3" s="144" t="s">
        <v>397</v>
      </c>
      <c r="N3" s="10"/>
      <c r="O3" s="10"/>
      <c r="P3" s="10"/>
      <c r="Q3" s="10"/>
      <c r="R3" s="115"/>
      <c r="S3" s="182">
        <v>3</v>
      </c>
      <c r="T3" s="181" t="s">
        <v>429</v>
      </c>
      <c r="U3" s="181"/>
      <c r="V3" s="181"/>
      <c r="W3" s="181"/>
      <c r="X3" s="181"/>
      <c r="Y3" s="148" t="s">
        <v>406</v>
      </c>
      <c r="Z3" s="149" t="s">
        <v>423</v>
      </c>
      <c r="AA3" s="148"/>
      <c r="AB3" s="94"/>
      <c r="AC3" s="94"/>
    </row>
    <row r="4" spans="1:29" ht="27" thickTop="1">
      <c r="A4" s="11"/>
      <c r="B4" s="18"/>
      <c r="C4" s="19"/>
      <c r="D4" s="19"/>
      <c r="E4" s="19"/>
      <c r="F4" s="20"/>
      <c r="G4" s="124"/>
      <c r="H4" s="61" t="s">
        <v>49</v>
      </c>
      <c r="I4" s="61"/>
      <c r="J4" s="55"/>
      <c r="K4" s="55"/>
      <c r="L4" s="125"/>
      <c r="M4" s="146" t="s">
        <v>422</v>
      </c>
      <c r="N4" s="146"/>
      <c r="O4" s="147"/>
      <c r="P4" s="56"/>
      <c r="Q4" s="56"/>
      <c r="R4" s="116"/>
      <c r="S4" s="182"/>
      <c r="T4" s="181" t="s">
        <v>398</v>
      </c>
      <c r="U4" s="181"/>
      <c r="V4" s="181"/>
      <c r="W4" s="181"/>
      <c r="X4" s="181"/>
      <c r="Y4" s="150"/>
      <c r="Z4" s="150" t="s">
        <v>407</v>
      </c>
      <c r="AA4" s="148"/>
      <c r="AB4" s="94"/>
      <c r="AC4" s="94"/>
    </row>
    <row r="5" spans="1:29" ht="15" customHeight="1">
      <c r="A5" s="11"/>
      <c r="B5" s="22"/>
      <c r="C5" s="3"/>
      <c r="D5" s="4"/>
      <c r="E5" s="157">
        <f>E7*3.6</f>
        <v>79.2</v>
      </c>
      <c r="F5" s="158" t="s">
        <v>415</v>
      </c>
      <c r="G5" s="61" t="s">
        <v>420</v>
      </c>
      <c r="H5" s="61">
        <f>H7/1000</f>
        <v>0.022</v>
      </c>
      <c r="I5" s="61"/>
      <c r="J5" s="55"/>
      <c r="K5" s="55"/>
      <c r="L5" s="125"/>
      <c r="M5" s="125"/>
      <c r="N5" s="125"/>
      <c r="O5" s="55"/>
      <c r="P5" s="56"/>
      <c r="Q5" s="56"/>
      <c r="R5" s="116"/>
      <c r="S5" s="123"/>
      <c r="T5" s="175"/>
      <c r="U5" s="175"/>
      <c r="V5" s="175"/>
      <c r="W5" s="175"/>
      <c r="X5" s="175"/>
      <c r="Y5" s="148"/>
      <c r="Z5" s="148"/>
      <c r="AA5" s="148"/>
      <c r="AB5" s="94"/>
      <c r="AC5" s="94"/>
    </row>
    <row r="6" spans="1:29" ht="14.25">
      <c r="A6" s="11"/>
      <c r="B6" s="24"/>
      <c r="C6" s="4"/>
      <c r="D6" s="4"/>
      <c r="E6" s="4"/>
      <c r="F6" s="23"/>
      <c r="G6" s="124"/>
      <c r="H6" s="61" t="s">
        <v>48</v>
      </c>
      <c r="I6" s="61"/>
      <c r="J6" s="55"/>
      <c r="K6" s="55"/>
      <c r="L6" s="55"/>
      <c r="M6" s="220"/>
      <c r="N6" s="220"/>
      <c r="O6" s="55"/>
      <c r="P6" s="56" t="s">
        <v>65</v>
      </c>
      <c r="Q6" s="56">
        <f>(N15*N15)/2*N13</f>
        <v>2.9439566949743323</v>
      </c>
      <c r="R6" s="116"/>
      <c r="S6" s="56"/>
      <c r="T6" s="56" t="s">
        <v>399</v>
      </c>
      <c r="U6" s="56"/>
      <c r="V6" s="10"/>
      <c r="W6" s="10"/>
      <c r="X6" s="94"/>
      <c r="Y6" s="94"/>
      <c r="Z6" s="94"/>
      <c r="AA6" s="94"/>
      <c r="AB6" s="94"/>
      <c r="AC6" s="94"/>
    </row>
    <row r="7" spans="1:29" ht="12.75" customHeight="1">
      <c r="A7" s="11"/>
      <c r="B7" s="24" t="s">
        <v>13</v>
      </c>
      <c r="C7" s="4"/>
      <c r="D7" s="4"/>
      <c r="E7" s="54">
        <v>22</v>
      </c>
      <c r="F7" s="25" t="s">
        <v>46</v>
      </c>
      <c r="G7" s="126"/>
      <c r="H7" s="61">
        <f>E7</f>
        <v>22</v>
      </c>
      <c r="I7" s="61"/>
      <c r="J7" s="55"/>
      <c r="K7" s="55"/>
      <c r="L7" s="62" t="s">
        <v>51</v>
      </c>
      <c r="M7" s="58"/>
      <c r="N7" s="88">
        <v>0.5</v>
      </c>
      <c r="O7" s="55"/>
      <c r="P7" s="56"/>
      <c r="Q7" s="56"/>
      <c r="R7" s="116"/>
      <c r="S7" s="56"/>
      <c r="T7" s="56"/>
      <c r="U7" s="56"/>
      <c r="V7" s="10"/>
      <c r="W7" s="10"/>
      <c r="X7" s="94"/>
      <c r="Y7" s="94"/>
      <c r="Z7" s="94"/>
      <c r="AA7" s="94"/>
      <c r="AB7" s="94"/>
      <c r="AC7" s="94"/>
    </row>
    <row r="8" spans="1:29" ht="14.25">
      <c r="A8" s="11"/>
      <c r="B8" s="24" t="s">
        <v>20</v>
      </c>
      <c r="C8" s="4"/>
      <c r="D8" s="4"/>
      <c r="E8" s="54">
        <v>100</v>
      </c>
      <c r="F8" s="25" t="s">
        <v>21</v>
      </c>
      <c r="G8" s="126"/>
      <c r="H8" s="61" t="s">
        <v>50</v>
      </c>
      <c r="I8" s="61"/>
      <c r="J8" s="55"/>
      <c r="K8" s="55"/>
      <c r="L8" s="55"/>
      <c r="M8" s="57"/>
      <c r="N8" s="57"/>
      <c r="O8" s="55"/>
      <c r="P8" s="56" t="s">
        <v>69</v>
      </c>
      <c r="Q8" s="56">
        <f>N17*N9</f>
        <v>5.5</v>
      </c>
      <c r="R8" s="116"/>
      <c r="S8" s="56"/>
      <c r="T8" s="133" t="s">
        <v>400</v>
      </c>
      <c r="U8" s="134">
        <f>Z16</f>
        <v>18.019045288204968</v>
      </c>
      <c r="V8" s="135" t="s">
        <v>401</v>
      </c>
      <c r="W8" s="10"/>
      <c r="X8" s="94"/>
      <c r="Y8" s="94" t="s">
        <v>412</v>
      </c>
      <c r="Z8" s="121">
        <f>POWER(V12,5)</f>
        <v>10000000000</v>
      </c>
      <c r="AA8" s="94"/>
      <c r="AB8" s="94"/>
      <c r="AC8" s="94"/>
    </row>
    <row r="9" spans="1:29" ht="15">
      <c r="A9" s="11"/>
      <c r="B9" s="24"/>
      <c r="C9" s="4"/>
      <c r="D9" s="4"/>
      <c r="E9" s="4"/>
      <c r="F9" s="25"/>
      <c r="G9" s="126"/>
      <c r="H9" s="61">
        <f>E8/25</f>
        <v>4</v>
      </c>
      <c r="I9" s="61"/>
      <c r="J9" s="55"/>
      <c r="K9" s="55"/>
      <c r="L9" s="55" t="s">
        <v>53</v>
      </c>
      <c r="M9" s="57"/>
      <c r="N9" s="64">
        <f>E8/1000</f>
        <v>0.1</v>
      </c>
      <c r="O9" s="55"/>
      <c r="P9" s="56"/>
      <c r="Q9" s="56"/>
      <c r="R9" s="116"/>
      <c r="S9" s="56"/>
      <c r="T9" s="56"/>
      <c r="U9" s="56"/>
      <c r="V9" s="10"/>
      <c r="W9" s="10"/>
      <c r="X9" s="94"/>
      <c r="Y9" s="94"/>
      <c r="Z9" s="121">
        <f>SQRT(Z8)</f>
        <v>100000</v>
      </c>
      <c r="AA9" s="94"/>
      <c r="AB9" s="94"/>
      <c r="AC9" s="94"/>
    </row>
    <row r="10" spans="1:29" ht="14.25">
      <c r="A10" s="11"/>
      <c r="B10" s="24" t="s">
        <v>14</v>
      </c>
      <c r="C10" s="4"/>
      <c r="D10" s="4"/>
      <c r="E10" s="1">
        <f>IF(E7=0,0,(E7/Notes!$C$13)/(PI()*(0.5*E8*0.001)^2))</f>
        <v>2.8018835069642383</v>
      </c>
      <c r="F10" s="169" t="s">
        <v>22</v>
      </c>
      <c r="G10" s="167" t="s">
        <v>426</v>
      </c>
      <c r="H10" s="168"/>
      <c r="I10" s="168"/>
      <c r="J10" s="55"/>
      <c r="K10" s="55"/>
      <c r="L10" s="55"/>
      <c r="M10" s="57"/>
      <c r="N10" s="57"/>
      <c r="O10" s="55"/>
      <c r="P10" s="89" t="s">
        <v>71</v>
      </c>
      <c r="Q10" s="68">
        <f>N7*Q6*Q8</f>
        <v>8.095880911179414</v>
      </c>
      <c r="R10" s="116"/>
      <c r="S10" s="56"/>
      <c r="T10" s="56" t="s">
        <v>402</v>
      </c>
      <c r="U10" s="56"/>
      <c r="V10" s="10">
        <v>0.0071</v>
      </c>
      <c r="W10" s="10"/>
      <c r="X10" s="94"/>
      <c r="Y10" s="118" t="s">
        <v>413</v>
      </c>
      <c r="Z10" s="121">
        <f>Z9*V14</f>
        <v>80958.80911179415</v>
      </c>
      <c r="AA10" s="94"/>
      <c r="AB10" s="94"/>
      <c r="AC10" s="94"/>
    </row>
    <row r="11" spans="1:29" ht="14.25">
      <c r="A11" s="11"/>
      <c r="B11" s="24" t="s">
        <v>15</v>
      </c>
      <c r="C11" s="4"/>
      <c r="D11" s="4"/>
      <c r="E11" s="5">
        <f>0.5*Notes!$C$13*E10^2</f>
        <v>3924.215768888919</v>
      </c>
      <c r="F11" s="25" t="s">
        <v>23</v>
      </c>
      <c r="G11" s="126"/>
      <c r="H11" s="55"/>
      <c r="I11" s="55"/>
      <c r="J11" s="55"/>
      <c r="K11" s="55"/>
      <c r="L11" s="55" t="s">
        <v>68</v>
      </c>
      <c r="M11" s="57"/>
      <c r="N11" s="69"/>
      <c r="O11" s="55"/>
      <c r="P11" s="89"/>
      <c r="Q11" s="89"/>
      <c r="R11" s="116"/>
      <c r="S11" s="56"/>
      <c r="T11" s="56"/>
      <c r="U11" s="56"/>
      <c r="V11" s="10"/>
      <c r="W11" s="10"/>
      <c r="X11" s="94"/>
      <c r="Y11" s="94"/>
      <c r="Z11" s="121">
        <f>Z10*V10</f>
        <v>574.8075446937385</v>
      </c>
      <c r="AA11" s="94"/>
      <c r="AB11" s="94"/>
      <c r="AC11" s="94"/>
    </row>
    <row r="12" spans="1:29" ht="15" thickBot="1">
      <c r="A12" s="11"/>
      <c r="B12" s="24" t="s">
        <v>16</v>
      </c>
      <c r="C12" s="4"/>
      <c r="D12" s="4"/>
      <c r="E12" s="6">
        <f>((E8*0.001)*E10)/Notes!$C$15</f>
        <v>214481.39344696462</v>
      </c>
      <c r="F12" s="25"/>
      <c r="G12" s="126"/>
      <c r="H12" s="55"/>
      <c r="I12" s="55"/>
      <c r="J12" s="55"/>
      <c r="K12" s="55"/>
      <c r="L12" s="55"/>
      <c r="M12" s="57"/>
      <c r="N12" s="57"/>
      <c r="O12" s="55"/>
      <c r="P12" s="89" t="s">
        <v>70</v>
      </c>
      <c r="Q12" s="89">
        <f>Q10/1000</f>
        <v>0.008095880911179415</v>
      </c>
      <c r="R12" s="116"/>
      <c r="S12" s="56"/>
      <c r="T12" s="56" t="s">
        <v>403</v>
      </c>
      <c r="U12" s="56"/>
      <c r="V12" s="121">
        <f>E8</f>
        <v>100</v>
      </c>
      <c r="W12" s="117" t="s">
        <v>21</v>
      </c>
      <c r="X12" s="94"/>
      <c r="Y12" s="94"/>
      <c r="Z12" s="121"/>
      <c r="AA12" s="94"/>
      <c r="AB12" s="94"/>
      <c r="AC12" s="94"/>
    </row>
    <row r="13" spans="1:29" ht="15.75" thickTop="1">
      <c r="A13" s="11"/>
      <c r="B13" s="24" t="s">
        <v>17</v>
      </c>
      <c r="C13" s="4"/>
      <c r="D13" s="4"/>
      <c r="E13" s="4">
        <v>0.046</v>
      </c>
      <c r="F13" s="25" t="s">
        <v>21</v>
      </c>
      <c r="G13" s="126"/>
      <c r="H13" s="128" t="s">
        <v>417</v>
      </c>
      <c r="I13" s="128"/>
      <c r="J13" s="55"/>
      <c r="K13" s="55"/>
      <c r="L13" s="55" t="s">
        <v>418</v>
      </c>
      <c r="M13" s="57"/>
      <c r="N13" s="69">
        <v>0.75</v>
      </c>
      <c r="O13" s="55"/>
      <c r="P13" s="89"/>
      <c r="Q13" s="89"/>
      <c r="R13" s="116"/>
      <c r="S13" s="56"/>
      <c r="T13" s="131"/>
      <c r="U13" s="131"/>
      <c r="V13" s="130"/>
      <c r="W13" s="130"/>
      <c r="X13" s="94"/>
      <c r="Y13" s="120" t="s">
        <v>407</v>
      </c>
      <c r="Z13" s="121">
        <f>V16*V18</f>
        <v>31.9</v>
      </c>
      <c r="AA13" s="94"/>
      <c r="AB13" s="94"/>
      <c r="AC13" s="94"/>
    </row>
    <row r="14" spans="1:29" ht="14.25">
      <c r="A14" s="11"/>
      <c r="B14" s="24" t="s">
        <v>26</v>
      </c>
      <c r="C14" s="4"/>
      <c r="D14" s="4"/>
      <c r="E14" s="7">
        <f>IF(E8=0,0,0.11*((E13/E8)+(68/E12))^0.25)</f>
        <v>0.018365555235181755</v>
      </c>
      <c r="F14" s="25"/>
      <c r="G14" s="126"/>
      <c r="H14" s="55" t="s">
        <v>450</v>
      </c>
      <c r="I14" s="55"/>
      <c r="J14" s="55"/>
      <c r="K14" s="55"/>
      <c r="L14" s="55"/>
      <c r="M14" s="220"/>
      <c r="N14" s="220"/>
      <c r="O14" s="55"/>
      <c r="P14" s="89" t="s">
        <v>72</v>
      </c>
      <c r="Q14" s="89">
        <f>Q12/10</f>
        <v>0.0008095880911179415</v>
      </c>
      <c r="R14" s="116"/>
      <c r="S14" s="56"/>
      <c r="T14" s="131" t="s">
        <v>404</v>
      </c>
      <c r="U14" s="131"/>
      <c r="V14" s="130">
        <f>Q16</f>
        <v>0.8095880911179415</v>
      </c>
      <c r="W14" s="129" t="s">
        <v>405</v>
      </c>
      <c r="X14" s="94"/>
      <c r="Y14" s="94"/>
      <c r="Z14" s="121"/>
      <c r="AA14" s="94"/>
      <c r="AB14" s="94"/>
      <c r="AC14" s="94"/>
    </row>
    <row r="15" spans="1:29" ht="15" thickBot="1">
      <c r="A15" s="11"/>
      <c r="B15" s="24" t="s">
        <v>18</v>
      </c>
      <c r="C15" s="4"/>
      <c r="D15" s="4"/>
      <c r="E15" s="63">
        <v>0.028</v>
      </c>
      <c r="F15" s="25"/>
      <c r="G15" s="126"/>
      <c r="H15" s="55" t="s">
        <v>451</v>
      </c>
      <c r="I15" s="55"/>
      <c r="J15" s="55"/>
      <c r="K15" s="55"/>
      <c r="L15" s="55" t="s">
        <v>67</v>
      </c>
      <c r="M15" s="57"/>
      <c r="N15" s="151">
        <f>E10</f>
        <v>2.8018835069642383</v>
      </c>
      <c r="O15" s="56"/>
      <c r="P15" s="56"/>
      <c r="Q15" s="56"/>
      <c r="R15" s="116"/>
      <c r="S15" s="56"/>
      <c r="T15" s="131"/>
      <c r="U15" s="131"/>
      <c r="V15" s="130"/>
      <c r="W15" s="130"/>
      <c r="X15" s="94"/>
      <c r="Y15" s="94"/>
      <c r="Z15" s="94"/>
      <c r="AA15" s="94"/>
      <c r="AB15" s="94"/>
      <c r="AC15" s="94"/>
    </row>
    <row r="16" spans="1:29" ht="23.25">
      <c r="A16" s="11"/>
      <c r="B16" s="24" t="s">
        <v>44</v>
      </c>
      <c r="C16" s="4"/>
      <c r="D16" s="4"/>
      <c r="E16" s="2">
        <f>IF(E8=0,0,(E15/(0.001*E8))*E11)</f>
        <v>1098.780415288897</v>
      </c>
      <c r="F16" s="25" t="s">
        <v>45</v>
      </c>
      <c r="G16" s="126"/>
      <c r="H16" s="55"/>
      <c r="I16" s="55"/>
      <c r="J16" s="55"/>
      <c r="K16" s="55"/>
      <c r="L16" s="55"/>
      <c r="M16" s="57"/>
      <c r="N16" s="152"/>
      <c r="O16" s="136"/>
      <c r="P16" s="137" t="s">
        <v>416</v>
      </c>
      <c r="Q16" s="137">
        <f>Q14*1000</f>
        <v>0.8095880911179415</v>
      </c>
      <c r="R16" s="138"/>
      <c r="S16" s="56"/>
      <c r="T16" s="56" t="s">
        <v>411</v>
      </c>
      <c r="U16" s="56"/>
      <c r="V16" s="119">
        <v>0.58</v>
      </c>
      <c r="W16" s="117" t="s">
        <v>410</v>
      </c>
      <c r="X16" s="94"/>
      <c r="Y16" s="170" t="s">
        <v>414</v>
      </c>
      <c r="Z16" s="183">
        <f>Z11/Z13</f>
        <v>18.019045288204968</v>
      </c>
      <c r="AA16" s="171" t="s">
        <v>427</v>
      </c>
      <c r="AB16" s="94"/>
      <c r="AC16" s="94"/>
    </row>
    <row r="17" spans="1:29" ht="18.75" thickBot="1">
      <c r="A17" s="11"/>
      <c r="B17" s="24"/>
      <c r="C17" s="4"/>
      <c r="D17" s="4"/>
      <c r="E17" s="4"/>
      <c r="F17" s="25"/>
      <c r="G17" s="126"/>
      <c r="H17" s="55"/>
      <c r="I17" s="55"/>
      <c r="J17" s="55"/>
      <c r="K17" s="55"/>
      <c r="L17" s="55" t="s">
        <v>54</v>
      </c>
      <c r="M17" s="57"/>
      <c r="N17" s="127">
        <v>55</v>
      </c>
      <c r="O17" s="139"/>
      <c r="P17" s="140" t="s">
        <v>421</v>
      </c>
      <c r="Q17" s="55"/>
      <c r="R17" s="116"/>
      <c r="S17" s="56"/>
      <c r="T17" s="56"/>
      <c r="U17" s="56"/>
      <c r="V17" s="10"/>
      <c r="W17" s="10"/>
      <c r="X17" s="94"/>
      <c r="Y17" s="172"/>
      <c r="Z17" s="173" t="s">
        <v>428</v>
      </c>
      <c r="AA17" s="174"/>
      <c r="AB17" s="94"/>
      <c r="AC17" s="94"/>
    </row>
    <row r="18" spans="1:29" ht="15" thickBot="1">
      <c r="A18" s="11"/>
      <c r="B18" s="24" t="s">
        <v>24</v>
      </c>
      <c r="C18" s="4"/>
      <c r="D18" s="4"/>
      <c r="E18" s="54">
        <v>0.2</v>
      </c>
      <c r="F18" s="25"/>
      <c r="G18" s="126"/>
      <c r="H18" s="55"/>
      <c r="I18" s="55"/>
      <c r="J18" s="55"/>
      <c r="K18" s="55"/>
      <c r="L18" s="55" t="s">
        <v>66</v>
      </c>
      <c r="M18" s="59"/>
      <c r="N18" s="60"/>
      <c r="O18" s="141"/>
      <c r="P18" s="142"/>
      <c r="Q18" s="142"/>
      <c r="R18" s="143"/>
      <c r="S18" s="56"/>
      <c r="T18" s="56" t="s">
        <v>408</v>
      </c>
      <c r="U18" s="56"/>
      <c r="V18" s="122">
        <f>N17</f>
        <v>55</v>
      </c>
      <c r="W18" s="117" t="s">
        <v>409</v>
      </c>
      <c r="X18" s="94"/>
      <c r="Y18" s="94"/>
      <c r="Z18" s="94"/>
      <c r="AA18" s="94"/>
      <c r="AB18" s="94"/>
      <c r="AC18" s="94"/>
    </row>
    <row r="19" spans="1:29" ht="23.25">
      <c r="A19" s="11"/>
      <c r="B19" s="24"/>
      <c r="C19" s="4"/>
      <c r="D19" s="4"/>
      <c r="E19" s="4"/>
      <c r="F19" s="25"/>
      <c r="G19" s="126"/>
      <c r="H19" s="55"/>
      <c r="I19" s="55"/>
      <c r="J19" s="55"/>
      <c r="K19" s="55"/>
      <c r="L19" s="55"/>
      <c r="M19" s="55"/>
      <c r="N19" s="184"/>
      <c r="O19" s="185"/>
      <c r="P19" s="186"/>
      <c r="Q19" s="187"/>
      <c r="R19" s="188"/>
      <c r="S19" s="56"/>
      <c r="T19" s="56"/>
      <c r="U19" s="56"/>
      <c r="V19" s="10"/>
      <c r="W19" s="10"/>
      <c r="X19" s="94"/>
      <c r="Y19" s="94"/>
      <c r="Z19" s="94"/>
      <c r="AA19" s="94"/>
      <c r="AB19" s="94"/>
      <c r="AC19" s="94"/>
    </row>
    <row r="20" spans="1:29" ht="18">
      <c r="A20" s="11"/>
      <c r="B20" s="24" t="s">
        <v>25</v>
      </c>
      <c r="C20" s="4"/>
      <c r="D20" s="4"/>
      <c r="E20" s="30">
        <f>E18*E11</f>
        <v>784.8431537777838</v>
      </c>
      <c r="F20" s="25" t="s">
        <v>23</v>
      </c>
      <c r="G20" s="126"/>
      <c r="H20" s="55"/>
      <c r="I20" s="55"/>
      <c r="J20" s="55"/>
      <c r="K20" s="55"/>
      <c r="L20" s="55"/>
      <c r="M20" s="90"/>
      <c r="N20" s="55"/>
      <c r="O20" s="55"/>
      <c r="P20" s="56"/>
      <c r="Q20" s="56"/>
      <c r="R20" s="116"/>
      <c r="S20" s="56"/>
      <c r="T20" s="132" t="s">
        <v>419</v>
      </c>
      <c r="U20" s="131"/>
      <c r="V20" s="130"/>
      <c r="W20" s="130"/>
      <c r="X20" s="130"/>
      <c r="Y20" s="130"/>
      <c r="Z20" s="130"/>
      <c r="AA20" s="130"/>
      <c r="AB20" s="130"/>
      <c r="AC20" s="130"/>
    </row>
    <row r="21" spans="1:29" ht="18">
      <c r="A21" s="10"/>
      <c r="B21" s="24"/>
      <c r="C21" s="4"/>
      <c r="D21" s="4"/>
      <c r="E21" s="4"/>
      <c r="F21" s="23"/>
      <c r="G21" s="124"/>
      <c r="H21" s="145" t="s">
        <v>435</v>
      </c>
      <c r="I21" s="145"/>
      <c r="J21" s="145"/>
      <c r="K21" s="145"/>
      <c r="L21" s="145"/>
      <c r="M21" s="145"/>
      <c r="N21" s="145"/>
      <c r="O21" s="145"/>
      <c r="P21" s="145"/>
      <c r="Q21" s="145"/>
      <c r="R21" s="116"/>
      <c r="S21" s="56"/>
      <c r="T21" s="56"/>
      <c r="U21" s="56"/>
      <c r="V21" s="10"/>
      <c r="W21" s="10"/>
      <c r="X21" s="94"/>
      <c r="Y21" s="94"/>
      <c r="Z21" s="94"/>
      <c r="AA21" s="94"/>
      <c r="AB21" s="94"/>
      <c r="AC21" s="94"/>
    </row>
    <row r="22" spans="1:29" ht="18.75" thickBot="1">
      <c r="A22" s="11"/>
      <c r="B22" s="26"/>
      <c r="C22" s="27"/>
      <c r="D22" s="27"/>
      <c r="E22" s="27"/>
      <c r="F22" s="28"/>
      <c r="G22" s="124"/>
      <c r="H22" s="140"/>
      <c r="I22" s="140"/>
      <c r="J22" s="140"/>
      <c r="K22" s="140"/>
      <c r="L22" s="140"/>
      <c r="M22" s="140"/>
      <c r="N22" s="145" t="s">
        <v>436</v>
      </c>
      <c r="O22" s="145"/>
      <c r="P22" s="140"/>
      <c r="Q22" s="140"/>
      <c r="R22" s="116"/>
      <c r="S22" s="56"/>
      <c r="T22" s="176" t="s">
        <v>430</v>
      </c>
      <c r="U22" s="176"/>
      <c r="V22" s="176"/>
      <c r="W22" s="176"/>
      <c r="X22" s="176"/>
      <c r="Y22" s="176"/>
      <c r="Z22" s="67"/>
      <c r="AA22" s="177" t="s">
        <v>432</v>
      </c>
      <c r="AB22" s="178"/>
      <c r="AC22" s="178"/>
    </row>
    <row r="23" spans="1:29" ht="18">
      <c r="A23" s="11"/>
      <c r="B23" s="11"/>
      <c r="C23" s="11"/>
      <c r="D23" s="11"/>
      <c r="E23" s="11"/>
      <c r="F23" s="11"/>
      <c r="G23" s="124"/>
      <c r="H23" s="195"/>
      <c r="I23" s="153" t="s">
        <v>424</v>
      </c>
      <c r="J23" s="153"/>
      <c r="K23" s="153"/>
      <c r="L23" s="154"/>
      <c r="M23" s="145" t="s">
        <v>437</v>
      </c>
      <c r="N23" s="145"/>
      <c r="O23" s="145"/>
      <c r="P23" s="195"/>
      <c r="Q23" s="193" t="s">
        <v>425</v>
      </c>
      <c r="R23" s="138"/>
      <c r="S23" s="56"/>
      <c r="T23" s="176" t="s">
        <v>431</v>
      </c>
      <c r="U23" s="176"/>
      <c r="V23" s="176"/>
      <c r="W23" s="176"/>
      <c r="X23" s="176"/>
      <c r="Y23" s="176"/>
      <c r="Z23" s="67"/>
      <c r="AA23" s="177" t="s">
        <v>433</v>
      </c>
      <c r="AB23" s="178"/>
      <c r="AC23" s="178"/>
    </row>
    <row r="24" spans="1:29" ht="15.75">
      <c r="A24" s="11"/>
      <c r="B24" s="11"/>
      <c r="C24" s="11"/>
      <c r="D24" s="11"/>
      <c r="E24" s="11"/>
      <c r="F24" s="11"/>
      <c r="G24" s="11"/>
      <c r="H24" s="116"/>
      <c r="I24" s="156"/>
      <c r="J24" s="55"/>
      <c r="K24" s="55"/>
      <c r="L24" s="116"/>
      <c r="M24" s="179" t="s">
        <v>439</v>
      </c>
      <c r="N24" s="55"/>
      <c r="O24" s="55"/>
      <c r="P24" s="116"/>
      <c r="Q24" s="194"/>
      <c r="R24" s="116"/>
      <c r="S24" s="56"/>
      <c r="T24" s="176"/>
      <c r="U24" s="176"/>
      <c r="V24" s="176"/>
      <c r="W24" s="176"/>
      <c r="X24" s="176"/>
      <c r="Y24" s="176"/>
      <c r="Z24" s="67"/>
      <c r="AA24" s="177" t="s">
        <v>434</v>
      </c>
      <c r="AB24" s="178"/>
      <c r="AC24" s="178"/>
    </row>
    <row r="25" spans="1:29" ht="16.5" thickBot="1">
      <c r="A25" s="11"/>
      <c r="B25" s="11"/>
      <c r="C25" s="11"/>
      <c r="D25" s="11"/>
      <c r="E25" s="11"/>
      <c r="F25" s="31"/>
      <c r="G25" s="196"/>
      <c r="H25" s="115"/>
      <c r="I25" s="155"/>
      <c r="J25" s="155"/>
      <c r="K25" s="155"/>
      <c r="L25" s="166"/>
      <c r="M25" s="180" t="s">
        <v>438</v>
      </c>
      <c r="N25" s="57"/>
      <c r="O25" s="55"/>
      <c r="P25" s="116"/>
      <c r="Q25" s="141"/>
      <c r="R25" s="166"/>
      <c r="S25" s="56"/>
      <c r="T25" s="56"/>
      <c r="U25" s="56"/>
      <c r="V25" s="10"/>
      <c r="W25" s="10"/>
      <c r="X25" s="94"/>
      <c r="Y25" s="94"/>
      <c r="Z25" s="94"/>
      <c r="AA25" s="94"/>
      <c r="AB25" s="94"/>
      <c r="AC25" s="94"/>
    </row>
    <row r="26" spans="1:25" ht="24" thickBot="1">
      <c r="A26" s="11"/>
      <c r="B26" s="11"/>
      <c r="C26" s="11"/>
      <c r="D26" s="11"/>
      <c r="E26" s="11"/>
      <c r="F26" s="31"/>
      <c r="G26" s="31"/>
      <c r="H26" s="11"/>
      <c r="I26" s="11"/>
      <c r="J26" s="11"/>
      <c r="K26" s="11"/>
      <c r="L26" s="184"/>
      <c r="M26" s="185"/>
      <c r="N26" s="186" t="s">
        <v>440</v>
      </c>
      <c r="O26" s="187"/>
      <c r="P26" s="188"/>
      <c r="Q26" s="55"/>
      <c r="R26" s="56"/>
      <c r="S26" s="56"/>
      <c r="T26" s="56"/>
      <c r="U26" s="56"/>
      <c r="V26" s="10"/>
      <c r="W26" s="10"/>
      <c r="Y26" s="94"/>
    </row>
    <row r="27" spans="1:25" ht="18.75" thickBot="1" thickTop="1">
      <c r="A27" s="11"/>
      <c r="B27" s="70" t="s">
        <v>64</v>
      </c>
      <c r="E27" s="103"/>
      <c r="F27" s="31"/>
      <c r="G27" s="31"/>
      <c r="H27" s="11"/>
      <c r="I27" s="99" t="s">
        <v>75</v>
      </c>
      <c r="J27" s="100"/>
      <c r="K27" s="100"/>
      <c r="L27" s="101"/>
      <c r="M27" s="97"/>
      <c r="N27" s="98"/>
      <c r="O27" s="96"/>
      <c r="P27" s="96"/>
      <c r="Q27" s="55"/>
      <c r="R27" s="56"/>
      <c r="S27" s="91" t="s">
        <v>254</v>
      </c>
      <c r="Y27" s="93" t="s">
        <v>255</v>
      </c>
    </row>
    <row r="28" spans="1:29" ht="25.5" customHeight="1" thickBot="1" thickTop="1">
      <c r="A28" s="11"/>
      <c r="B28" s="71"/>
      <c r="E28" s="104"/>
      <c r="F28" s="237" t="s">
        <v>445</v>
      </c>
      <c r="G28" s="238"/>
      <c r="H28" s="239"/>
      <c r="I28" s="102" t="s">
        <v>73</v>
      </c>
      <c r="J28" s="100"/>
      <c r="K28" s="100"/>
      <c r="L28" s="101"/>
      <c r="M28" s="97"/>
      <c r="N28" s="98"/>
      <c r="O28" s="96"/>
      <c r="P28" s="96"/>
      <c r="Q28" s="55"/>
      <c r="R28" s="56"/>
      <c r="S28" s="71"/>
      <c r="Y28" s="94"/>
      <c r="Z28" s="205" t="s">
        <v>256</v>
      </c>
      <c r="AA28" s="206"/>
      <c r="AB28" s="211" t="s">
        <v>257</v>
      </c>
      <c r="AC28" s="212"/>
    </row>
    <row r="29" spans="1:29" ht="27" thickBot="1" thickTop="1">
      <c r="A29" s="11"/>
      <c r="B29" s="75" t="s">
        <v>55</v>
      </c>
      <c r="C29" s="76" t="s">
        <v>56</v>
      </c>
      <c r="D29" s="77" t="s">
        <v>57</v>
      </c>
      <c r="E29" s="32"/>
      <c r="F29" s="240" t="s">
        <v>446</v>
      </c>
      <c r="G29" s="241"/>
      <c r="H29" s="242"/>
      <c r="I29" s="71"/>
      <c r="L29" s="96"/>
      <c r="M29" s="97"/>
      <c r="N29" s="98"/>
      <c r="O29" s="96"/>
      <c r="P29" s="96"/>
      <c r="Q29" s="55"/>
      <c r="R29" s="56"/>
      <c r="S29" s="221" t="s">
        <v>76</v>
      </c>
      <c r="T29" s="223" t="s">
        <v>77</v>
      </c>
      <c r="U29" s="109" t="s">
        <v>78</v>
      </c>
      <c r="V29" s="225" t="s">
        <v>80</v>
      </c>
      <c r="W29" s="226"/>
      <c r="Y29" s="94"/>
      <c r="Z29" s="207"/>
      <c r="AA29" s="208"/>
      <c r="AB29" s="213" t="s">
        <v>258</v>
      </c>
      <c r="AC29" s="214"/>
    </row>
    <row r="30" spans="1:29" ht="27.75" customHeight="1" thickBot="1" thickTop="1">
      <c r="A30" s="11"/>
      <c r="B30" s="78" t="s">
        <v>58</v>
      </c>
      <c r="C30" s="72" t="s">
        <v>60</v>
      </c>
      <c r="D30" s="79" t="s">
        <v>62</v>
      </c>
      <c r="E30" s="32"/>
      <c r="F30" s="243"/>
      <c r="G30" s="243"/>
      <c r="H30" s="244"/>
      <c r="I30" s="92" t="s">
        <v>55</v>
      </c>
      <c r="J30" s="76" t="s">
        <v>56</v>
      </c>
      <c r="K30" s="77" t="s">
        <v>57</v>
      </c>
      <c r="L30" s="92"/>
      <c r="M30" s="92" t="s">
        <v>56</v>
      </c>
      <c r="N30" s="76" t="s">
        <v>57</v>
      </c>
      <c r="O30" s="55"/>
      <c r="P30" s="55"/>
      <c r="Q30" s="55"/>
      <c r="R30" s="56"/>
      <c r="S30" s="222"/>
      <c r="T30" s="224"/>
      <c r="U30" s="105" t="s">
        <v>79</v>
      </c>
      <c r="V30" s="106" t="s">
        <v>61</v>
      </c>
      <c r="W30" s="110" t="s">
        <v>81</v>
      </c>
      <c r="Y30" s="94"/>
      <c r="Z30" s="209"/>
      <c r="AA30" s="210"/>
      <c r="AB30" s="113" t="s">
        <v>259</v>
      </c>
      <c r="AC30" s="114" t="s">
        <v>260</v>
      </c>
    </row>
    <row r="31" spans="1:29" ht="15.75" thickBot="1">
      <c r="A31" s="11"/>
      <c r="B31" s="80" t="s">
        <v>59</v>
      </c>
      <c r="C31" s="73" t="s">
        <v>61</v>
      </c>
      <c r="D31" s="81" t="s">
        <v>63</v>
      </c>
      <c r="E31" s="33"/>
      <c r="F31" s="246">
        <f>F37/38.7*3.6</f>
        <v>79.2</v>
      </c>
      <c r="G31" s="247" t="s">
        <v>415</v>
      </c>
      <c r="H31" s="157"/>
      <c r="I31" s="78" t="s">
        <v>58</v>
      </c>
      <c r="J31" s="72" t="s">
        <v>60</v>
      </c>
      <c r="K31" s="79" t="s">
        <v>62</v>
      </c>
      <c r="L31" s="78"/>
      <c r="M31" s="78" t="s">
        <v>60</v>
      </c>
      <c r="N31" s="72" t="s">
        <v>62</v>
      </c>
      <c r="O31" s="55"/>
      <c r="P31" s="55"/>
      <c r="Q31" s="55"/>
      <c r="R31" s="56"/>
      <c r="S31" s="227" t="s">
        <v>82</v>
      </c>
      <c r="T31" s="228" t="s">
        <v>83</v>
      </c>
      <c r="U31" s="229">
        <v>26</v>
      </c>
      <c r="V31" s="107" t="s">
        <v>84</v>
      </c>
      <c r="W31" s="111" t="s">
        <v>86</v>
      </c>
      <c r="Y31" s="94"/>
      <c r="Z31" s="82" t="s">
        <v>261</v>
      </c>
      <c r="AA31" s="74" t="s">
        <v>261</v>
      </c>
      <c r="AB31" s="74" t="s">
        <v>262</v>
      </c>
      <c r="AC31" s="83">
        <v>0.3</v>
      </c>
    </row>
    <row r="32" spans="1:29" ht="27.75" thickBot="1">
      <c r="A32" s="11"/>
      <c r="B32" s="82">
        <v>0</v>
      </c>
      <c r="C32" s="74">
        <v>999.8</v>
      </c>
      <c r="D32" s="83">
        <v>9.806</v>
      </c>
      <c r="E32" s="11"/>
      <c r="F32" s="245"/>
      <c r="G32" s="245"/>
      <c r="H32" s="157"/>
      <c r="I32" s="80" t="s">
        <v>59</v>
      </c>
      <c r="J32" s="73" t="s">
        <v>61</v>
      </c>
      <c r="K32" s="81" t="s">
        <v>74</v>
      </c>
      <c r="L32" s="80"/>
      <c r="M32" s="80" t="s">
        <v>61</v>
      </c>
      <c r="N32" s="73" t="s">
        <v>74</v>
      </c>
      <c r="O32" s="55"/>
      <c r="P32" s="55"/>
      <c r="Q32" s="55"/>
      <c r="R32" s="56"/>
      <c r="S32" s="200"/>
      <c r="T32" s="218"/>
      <c r="U32" s="202"/>
      <c r="V32" s="108" t="s">
        <v>85</v>
      </c>
      <c r="W32" s="112" t="s">
        <v>87</v>
      </c>
      <c r="Y32" s="94"/>
      <c r="Z32" s="82" t="s">
        <v>263</v>
      </c>
      <c r="AA32" s="74" t="s">
        <v>264</v>
      </c>
      <c r="AB32" s="74">
        <v>0.45</v>
      </c>
      <c r="AC32" s="83"/>
    </row>
    <row r="33" spans="1:29" ht="15" thickBot="1">
      <c r="A33" s="11"/>
      <c r="B33" s="82">
        <v>4</v>
      </c>
      <c r="C33" s="74">
        <v>1000</v>
      </c>
      <c r="D33" s="83">
        <v>9.807</v>
      </c>
      <c r="E33" s="34"/>
      <c r="F33" s="245"/>
      <c r="G33" s="245"/>
      <c r="H33" s="157"/>
      <c r="I33" s="82">
        <v>-40</v>
      </c>
      <c r="J33" s="74">
        <v>1.514</v>
      </c>
      <c r="K33" s="83">
        <v>14.85</v>
      </c>
      <c r="L33" s="82"/>
      <c r="M33" s="74">
        <v>1.514</v>
      </c>
      <c r="N33" s="83">
        <v>14.85</v>
      </c>
      <c r="O33" s="55"/>
      <c r="P33" s="55"/>
      <c r="Q33" s="55"/>
      <c r="R33" s="56"/>
      <c r="S33" s="199" t="s">
        <v>88</v>
      </c>
      <c r="T33" s="201"/>
      <c r="U33" s="201">
        <v>29</v>
      </c>
      <c r="V33" s="107" t="s">
        <v>89</v>
      </c>
      <c r="W33" s="111" t="s">
        <v>91</v>
      </c>
      <c r="Y33" s="94"/>
      <c r="Z33" s="82" t="s">
        <v>261</v>
      </c>
      <c r="AA33" s="74" t="s">
        <v>265</v>
      </c>
      <c r="AB33" s="74">
        <v>0.61</v>
      </c>
      <c r="AC33" s="83"/>
    </row>
    <row r="34" spans="1:29" ht="16.5" thickBot="1">
      <c r="A34" s="11"/>
      <c r="B34" s="82">
        <v>10</v>
      </c>
      <c r="C34" s="74">
        <v>999.7</v>
      </c>
      <c r="D34" s="83">
        <v>9.804</v>
      </c>
      <c r="E34" s="34"/>
      <c r="F34" s="237" t="s">
        <v>447</v>
      </c>
      <c r="G34" s="238"/>
      <c r="H34" s="239"/>
      <c r="I34" s="82">
        <v>-20</v>
      </c>
      <c r="J34" s="74">
        <v>1.395</v>
      </c>
      <c r="K34" s="83">
        <v>13.68</v>
      </c>
      <c r="L34" s="82"/>
      <c r="M34" s="74">
        <v>1.395</v>
      </c>
      <c r="N34" s="83">
        <v>13.68</v>
      </c>
      <c r="O34" s="55"/>
      <c r="P34" s="55"/>
      <c r="Q34" s="55"/>
      <c r="R34" s="56"/>
      <c r="S34" s="200"/>
      <c r="T34" s="202"/>
      <c r="U34" s="202"/>
      <c r="V34" s="108" t="s">
        <v>90</v>
      </c>
      <c r="W34" s="112" t="s">
        <v>92</v>
      </c>
      <c r="Y34" s="94"/>
      <c r="Z34" s="82" t="s">
        <v>266</v>
      </c>
      <c r="AA34" s="74" t="s">
        <v>267</v>
      </c>
      <c r="AB34" s="74">
        <v>0.4</v>
      </c>
      <c r="AC34" s="83"/>
    </row>
    <row r="35" spans="1:29" ht="16.5" thickBot="1">
      <c r="A35" s="11"/>
      <c r="B35" s="82">
        <v>20</v>
      </c>
      <c r="C35" s="74">
        <v>998.2</v>
      </c>
      <c r="D35" s="83">
        <v>9.789</v>
      </c>
      <c r="E35" s="21"/>
      <c r="F35" s="240" t="s">
        <v>448</v>
      </c>
      <c r="G35" s="241"/>
      <c r="H35" s="242"/>
      <c r="I35" s="82">
        <v>0</v>
      </c>
      <c r="J35" s="74">
        <v>1.293</v>
      </c>
      <c r="K35" s="83">
        <v>12.67</v>
      </c>
      <c r="L35" s="82"/>
      <c r="M35" s="74">
        <v>1.293</v>
      </c>
      <c r="N35" s="83">
        <v>12.67</v>
      </c>
      <c r="O35" s="55"/>
      <c r="P35" s="55"/>
      <c r="Q35" s="55"/>
      <c r="R35" s="56"/>
      <c r="S35" s="199" t="s">
        <v>93</v>
      </c>
      <c r="T35" s="217" t="s">
        <v>94</v>
      </c>
      <c r="U35" s="201">
        <v>17.031</v>
      </c>
      <c r="V35" s="107" t="s">
        <v>95</v>
      </c>
      <c r="W35" s="111" t="s">
        <v>97</v>
      </c>
      <c r="Y35" s="94"/>
      <c r="Z35" s="82" t="s">
        <v>266</v>
      </c>
      <c r="AA35" s="74" t="s">
        <v>268</v>
      </c>
      <c r="AB35" s="74">
        <v>0.2</v>
      </c>
      <c r="AC35" s="83"/>
    </row>
    <row r="36" spans="1:29" ht="15" thickBot="1">
      <c r="A36" s="11"/>
      <c r="B36" s="82">
        <v>30</v>
      </c>
      <c r="C36" s="74">
        <v>995.7</v>
      </c>
      <c r="D36" s="83">
        <v>9.765</v>
      </c>
      <c r="E36" s="21"/>
      <c r="F36" s="245"/>
      <c r="G36" s="245"/>
      <c r="H36" s="157"/>
      <c r="I36" s="82">
        <v>5</v>
      </c>
      <c r="J36" s="74">
        <v>1.269</v>
      </c>
      <c r="K36" s="83">
        <v>12.45</v>
      </c>
      <c r="L36" s="82"/>
      <c r="M36" s="74">
        <v>1.269</v>
      </c>
      <c r="N36" s="83">
        <v>12.45</v>
      </c>
      <c r="O36" s="55"/>
      <c r="P36" s="55"/>
      <c r="Q36" s="55"/>
      <c r="R36" s="55"/>
      <c r="S36" s="200"/>
      <c r="T36" s="218"/>
      <c r="U36" s="202"/>
      <c r="V36" s="108" t="s">
        <v>96</v>
      </c>
      <c r="W36" s="112" t="s">
        <v>98</v>
      </c>
      <c r="Y36" s="94"/>
      <c r="Z36" s="82" t="s">
        <v>269</v>
      </c>
      <c r="AA36" s="74" t="s">
        <v>264</v>
      </c>
      <c r="AB36" s="74">
        <v>0.35</v>
      </c>
      <c r="AC36" s="83">
        <v>0.19</v>
      </c>
    </row>
    <row r="37" spans="1:29" ht="15.75" thickBot="1">
      <c r="A37" s="11"/>
      <c r="B37" s="82">
        <v>40</v>
      </c>
      <c r="C37" s="74">
        <v>992.2</v>
      </c>
      <c r="D37" s="83">
        <v>9.731</v>
      </c>
      <c r="E37" s="11"/>
      <c r="F37" s="248">
        <f>E5/3.6*38.7</f>
        <v>851.4000000000001</v>
      </c>
      <c r="G37" s="247" t="s">
        <v>449</v>
      </c>
      <c r="H37" s="248"/>
      <c r="I37" s="82">
        <v>10</v>
      </c>
      <c r="J37" s="74">
        <v>1.247</v>
      </c>
      <c r="K37" s="83">
        <v>12.23</v>
      </c>
      <c r="L37" s="82"/>
      <c r="M37" s="74">
        <v>1.247</v>
      </c>
      <c r="N37" s="83">
        <v>12.23</v>
      </c>
      <c r="O37" s="11"/>
      <c r="P37" s="11"/>
      <c r="Q37" s="11"/>
      <c r="R37" s="11"/>
      <c r="S37" s="199" t="s">
        <v>99</v>
      </c>
      <c r="T37" s="217" t="s">
        <v>100</v>
      </c>
      <c r="U37" s="201">
        <v>39.948</v>
      </c>
      <c r="V37" s="107" t="s">
        <v>101</v>
      </c>
      <c r="W37" s="111" t="s">
        <v>103</v>
      </c>
      <c r="Y37" s="94"/>
      <c r="Z37" s="82" t="s">
        <v>269</v>
      </c>
      <c r="AA37" s="74" t="s">
        <v>270</v>
      </c>
      <c r="AB37" s="74" t="s">
        <v>271</v>
      </c>
      <c r="AC37" s="83"/>
    </row>
    <row r="38" spans="1:29" ht="27.75" thickBot="1">
      <c r="A38" s="11"/>
      <c r="B38" s="82">
        <v>50</v>
      </c>
      <c r="C38" s="74">
        <v>988.1</v>
      </c>
      <c r="D38" s="83">
        <v>9.69</v>
      </c>
      <c r="E38" s="11"/>
      <c r="F38" s="248"/>
      <c r="G38" s="248"/>
      <c r="H38" s="248"/>
      <c r="I38" s="82">
        <v>15</v>
      </c>
      <c r="J38" s="74">
        <v>1.225</v>
      </c>
      <c r="K38" s="83">
        <v>12.01</v>
      </c>
      <c r="L38" s="82"/>
      <c r="M38" s="74">
        <v>1.225</v>
      </c>
      <c r="N38" s="83">
        <v>12.01</v>
      </c>
      <c r="O38" s="11"/>
      <c r="P38" s="11"/>
      <c r="Q38" s="11"/>
      <c r="R38" s="11"/>
      <c r="S38" s="200"/>
      <c r="T38" s="218"/>
      <c r="U38" s="202"/>
      <c r="V38" s="108" t="s">
        <v>102</v>
      </c>
      <c r="W38" s="112" t="s">
        <v>104</v>
      </c>
      <c r="Y38" s="94"/>
      <c r="Z38" s="82" t="s">
        <v>272</v>
      </c>
      <c r="AA38" s="74" t="s">
        <v>273</v>
      </c>
      <c r="AB38" s="74">
        <v>0.6</v>
      </c>
      <c r="AC38" s="83"/>
    </row>
    <row r="39" spans="1:29" ht="16.5" thickBot="1">
      <c r="A39" s="11"/>
      <c r="B39" s="82">
        <v>60</v>
      </c>
      <c r="C39" s="74">
        <v>983.2</v>
      </c>
      <c r="D39" s="83">
        <v>9.642</v>
      </c>
      <c r="E39" s="11"/>
      <c r="F39" s="11"/>
      <c r="G39" s="11"/>
      <c r="H39" s="11"/>
      <c r="I39" s="82">
        <v>20</v>
      </c>
      <c r="J39" s="74">
        <v>1.204</v>
      </c>
      <c r="K39" s="83">
        <v>11.81</v>
      </c>
      <c r="L39" s="82"/>
      <c r="M39" s="74">
        <v>1.204</v>
      </c>
      <c r="N39" s="83">
        <v>11.81</v>
      </c>
      <c r="O39" s="11"/>
      <c r="P39" s="11"/>
      <c r="Q39" s="11"/>
      <c r="R39" s="11"/>
      <c r="S39" s="82" t="s">
        <v>105</v>
      </c>
      <c r="T39" s="106" t="s">
        <v>106</v>
      </c>
      <c r="U39" s="74">
        <v>78.11</v>
      </c>
      <c r="V39" s="74">
        <v>3.486</v>
      </c>
      <c r="W39" s="83">
        <v>0.20643</v>
      </c>
      <c r="Y39" s="94"/>
      <c r="Z39" s="82" t="s">
        <v>274</v>
      </c>
      <c r="AA39" s="74" t="s">
        <v>264</v>
      </c>
      <c r="AB39" s="74"/>
      <c r="AC39" s="83">
        <v>0.16</v>
      </c>
    </row>
    <row r="40" spans="1:29" ht="39" customHeight="1" thickBot="1">
      <c r="A40" s="10"/>
      <c r="B40" s="82">
        <v>70</v>
      </c>
      <c r="C40" s="74">
        <v>977.8</v>
      </c>
      <c r="D40" s="83">
        <v>9.589</v>
      </c>
      <c r="E40" s="11"/>
      <c r="F40" s="11"/>
      <c r="G40" s="11"/>
      <c r="H40" s="11"/>
      <c r="I40" s="82">
        <v>25</v>
      </c>
      <c r="J40" s="74">
        <v>1.184</v>
      </c>
      <c r="K40" s="83">
        <v>11.61</v>
      </c>
      <c r="L40" s="82"/>
      <c r="M40" s="74">
        <v>1.184</v>
      </c>
      <c r="N40" s="83">
        <v>11.61</v>
      </c>
      <c r="O40" s="10"/>
      <c r="P40" s="10"/>
      <c r="Q40" s="10"/>
      <c r="R40" s="10"/>
      <c r="S40" s="82" t="s">
        <v>107</v>
      </c>
      <c r="T40" s="74"/>
      <c r="U40" s="74"/>
      <c r="V40" s="74" t="s">
        <v>108</v>
      </c>
      <c r="W40" s="83" t="s">
        <v>109</v>
      </c>
      <c r="Y40" s="94"/>
      <c r="Z40" s="82" t="s">
        <v>274</v>
      </c>
      <c r="AA40" s="74" t="s">
        <v>270</v>
      </c>
      <c r="AB40" s="74" t="s">
        <v>275</v>
      </c>
      <c r="AC40" s="83"/>
    </row>
    <row r="41" spans="1:29" ht="15" thickBot="1">
      <c r="A41" s="10"/>
      <c r="B41" s="82">
        <v>80</v>
      </c>
      <c r="C41" s="74">
        <v>971.8</v>
      </c>
      <c r="D41" s="83">
        <v>9.53</v>
      </c>
      <c r="E41" s="10"/>
      <c r="F41" s="10"/>
      <c r="G41" s="10"/>
      <c r="H41" s="10"/>
      <c r="I41" s="82">
        <v>30</v>
      </c>
      <c r="J41" s="74">
        <v>1.165</v>
      </c>
      <c r="K41" s="83">
        <v>11.43</v>
      </c>
      <c r="L41" s="82"/>
      <c r="M41" s="74">
        <v>1.165</v>
      </c>
      <c r="N41" s="83">
        <v>11.43</v>
      </c>
      <c r="O41" s="10"/>
      <c r="P41" s="10"/>
      <c r="Q41" s="10"/>
      <c r="R41" s="10"/>
      <c r="S41" s="199" t="s">
        <v>110</v>
      </c>
      <c r="T41" s="217" t="s">
        <v>111</v>
      </c>
      <c r="U41" s="201">
        <v>58.1</v>
      </c>
      <c r="V41" s="107" t="s">
        <v>112</v>
      </c>
      <c r="W41" s="111" t="s">
        <v>114</v>
      </c>
      <c r="Y41" s="94"/>
      <c r="Z41" s="82" t="s">
        <v>276</v>
      </c>
      <c r="AA41" s="74" t="s">
        <v>264</v>
      </c>
      <c r="AB41" s="74"/>
      <c r="AC41" s="83">
        <v>0.13</v>
      </c>
    </row>
    <row r="42" spans="1:29" ht="15" thickBot="1">
      <c r="A42" s="10"/>
      <c r="B42" s="82">
        <v>90</v>
      </c>
      <c r="C42" s="74">
        <v>965.3</v>
      </c>
      <c r="D42" s="83">
        <v>9.467</v>
      </c>
      <c r="E42" s="10"/>
      <c r="F42" s="10"/>
      <c r="G42" s="10"/>
      <c r="H42" s="10"/>
      <c r="I42" s="82">
        <v>40</v>
      </c>
      <c r="J42" s="74">
        <v>1.127</v>
      </c>
      <c r="K42" s="83">
        <v>11.05</v>
      </c>
      <c r="L42" s="82"/>
      <c r="M42" s="74">
        <v>1.127</v>
      </c>
      <c r="N42" s="83">
        <v>11.05</v>
      </c>
      <c r="O42" s="10"/>
      <c r="P42" s="10"/>
      <c r="Q42" s="10"/>
      <c r="R42" s="10"/>
      <c r="S42" s="200"/>
      <c r="T42" s="218"/>
      <c r="U42" s="202"/>
      <c r="V42" s="108" t="s">
        <v>113</v>
      </c>
      <c r="W42" s="112" t="s">
        <v>115</v>
      </c>
      <c r="Y42" s="94"/>
      <c r="Z42" s="82" t="s">
        <v>277</v>
      </c>
      <c r="AA42" s="74" t="s">
        <v>277</v>
      </c>
      <c r="AB42" s="74">
        <v>0.5</v>
      </c>
      <c r="AC42" s="83">
        <v>0.05</v>
      </c>
    </row>
    <row r="43" spans="1:29" ht="26.25" thickBot="1">
      <c r="A43" s="10"/>
      <c r="B43" s="84">
        <v>100</v>
      </c>
      <c r="C43" s="85">
        <v>958.4</v>
      </c>
      <c r="D43" s="86">
        <v>9.399</v>
      </c>
      <c r="E43" s="10"/>
      <c r="F43" s="10"/>
      <c r="G43" s="10"/>
      <c r="H43" s="10"/>
      <c r="I43" s="82">
        <v>50</v>
      </c>
      <c r="J43" s="74">
        <v>1.109</v>
      </c>
      <c r="K43" s="83">
        <v>10.88</v>
      </c>
      <c r="L43" s="82"/>
      <c r="M43" s="74">
        <v>1.109</v>
      </c>
      <c r="N43" s="83">
        <v>10.88</v>
      </c>
      <c r="O43" s="10"/>
      <c r="P43" s="10"/>
      <c r="Q43" s="10"/>
      <c r="R43" s="10"/>
      <c r="S43" s="82" t="s">
        <v>116</v>
      </c>
      <c r="T43" s="106" t="s">
        <v>117</v>
      </c>
      <c r="U43" s="74">
        <v>56.11</v>
      </c>
      <c r="V43" s="74">
        <v>2.504</v>
      </c>
      <c r="W43" s="83" t="s">
        <v>118</v>
      </c>
      <c r="Y43" s="94"/>
      <c r="Z43" s="82" t="s">
        <v>277</v>
      </c>
      <c r="AA43" s="74" t="s">
        <v>278</v>
      </c>
      <c r="AB43" s="74">
        <v>0.41</v>
      </c>
      <c r="AC43" s="83">
        <v>0.34</v>
      </c>
    </row>
    <row r="44" spans="1:29" ht="15.75" thickBot="1" thickTop="1">
      <c r="A44" s="10"/>
      <c r="B44" s="87"/>
      <c r="E44" s="10"/>
      <c r="F44" s="10"/>
      <c r="G44" s="10"/>
      <c r="H44" s="10"/>
      <c r="I44" s="82">
        <v>60</v>
      </c>
      <c r="J44" s="74">
        <v>1.06</v>
      </c>
      <c r="K44" s="83">
        <v>10.4</v>
      </c>
      <c r="L44" s="82"/>
      <c r="M44" s="74">
        <v>1.06</v>
      </c>
      <c r="N44" s="83">
        <v>10.4</v>
      </c>
      <c r="O44" s="10"/>
      <c r="P44" s="10"/>
      <c r="Q44" s="10"/>
      <c r="R44" s="10"/>
      <c r="S44" s="199" t="s">
        <v>119</v>
      </c>
      <c r="T44" s="217" t="s">
        <v>120</v>
      </c>
      <c r="U44" s="201">
        <v>44.01</v>
      </c>
      <c r="V44" s="107" t="s">
        <v>121</v>
      </c>
      <c r="W44" s="111" t="s">
        <v>123</v>
      </c>
      <c r="Y44" s="94"/>
      <c r="Z44" s="82" t="s">
        <v>277</v>
      </c>
      <c r="AA44" s="74" t="s">
        <v>265</v>
      </c>
      <c r="AB44" s="74" t="s">
        <v>279</v>
      </c>
      <c r="AC44" s="83"/>
    </row>
    <row r="45" spans="1:29" ht="15" thickBot="1">
      <c r="A45" s="94"/>
      <c r="B45" s="95"/>
      <c r="C45" s="94"/>
      <c r="D45" s="94"/>
      <c r="E45" s="94"/>
      <c r="F45" s="94"/>
      <c r="G45" s="94"/>
      <c r="H45" s="94"/>
      <c r="I45" s="82">
        <v>70</v>
      </c>
      <c r="J45" s="74">
        <v>1.029</v>
      </c>
      <c r="K45" s="83">
        <v>10.09</v>
      </c>
      <c r="L45" s="82"/>
      <c r="M45" s="74">
        <v>1.029</v>
      </c>
      <c r="N45" s="83">
        <v>10.09</v>
      </c>
      <c r="O45" s="94"/>
      <c r="P45" s="94"/>
      <c r="Q45" s="94"/>
      <c r="R45" s="94"/>
      <c r="S45" s="200"/>
      <c r="T45" s="218"/>
      <c r="U45" s="202"/>
      <c r="V45" s="108" t="s">
        <v>122</v>
      </c>
      <c r="W45" s="112" t="s">
        <v>124</v>
      </c>
      <c r="Y45" s="94"/>
      <c r="Z45" s="82" t="s">
        <v>270</v>
      </c>
      <c r="AA45" s="74" t="s">
        <v>270</v>
      </c>
      <c r="AB45" s="74" t="s">
        <v>280</v>
      </c>
      <c r="AC45" s="83" t="s">
        <v>281</v>
      </c>
    </row>
    <row r="46" spans="1:29" ht="39" customHeight="1" thickBot="1">
      <c r="A46" s="94"/>
      <c r="B46" s="94"/>
      <c r="C46" s="94"/>
      <c r="D46" s="94"/>
      <c r="E46" s="94"/>
      <c r="F46" s="94"/>
      <c r="G46" s="94"/>
      <c r="H46" s="94"/>
      <c r="I46" s="82">
        <v>80</v>
      </c>
      <c r="J46" s="74">
        <v>0.9996</v>
      </c>
      <c r="K46" s="83">
        <v>9.803</v>
      </c>
      <c r="L46" s="82"/>
      <c r="M46" s="74">
        <v>0.9996</v>
      </c>
      <c r="N46" s="83">
        <v>9.803</v>
      </c>
      <c r="O46" s="94"/>
      <c r="P46" s="94"/>
      <c r="Q46" s="94"/>
      <c r="R46" s="94"/>
      <c r="S46" s="82" t="s">
        <v>125</v>
      </c>
      <c r="T46" s="74"/>
      <c r="U46" s="74">
        <v>76.13</v>
      </c>
      <c r="V46" s="74"/>
      <c r="W46" s="83"/>
      <c r="Y46" s="94"/>
      <c r="Z46" s="82" t="s">
        <v>270</v>
      </c>
      <c r="AA46" s="74" t="s">
        <v>282</v>
      </c>
      <c r="AB46" s="74" t="s">
        <v>283</v>
      </c>
      <c r="AC46" s="83">
        <v>0.0751</v>
      </c>
    </row>
    <row r="47" spans="1:29" ht="15" thickBot="1">
      <c r="A47" s="94"/>
      <c r="B47" s="94"/>
      <c r="C47" s="94"/>
      <c r="D47" s="94"/>
      <c r="E47" s="94"/>
      <c r="F47" s="94"/>
      <c r="G47" s="94"/>
      <c r="H47" s="94"/>
      <c r="I47" s="82">
        <v>90</v>
      </c>
      <c r="J47" s="74">
        <v>0.9721</v>
      </c>
      <c r="K47" s="83">
        <v>9.533</v>
      </c>
      <c r="L47" s="82"/>
      <c r="M47" s="74">
        <v>0.9721</v>
      </c>
      <c r="N47" s="83">
        <v>9.533</v>
      </c>
      <c r="O47" s="94"/>
      <c r="P47" s="94"/>
      <c r="Q47" s="94"/>
      <c r="R47" s="94"/>
      <c r="S47" s="199" t="s">
        <v>126</v>
      </c>
      <c r="T47" s="217" t="s">
        <v>127</v>
      </c>
      <c r="U47" s="201">
        <v>28.01</v>
      </c>
      <c r="V47" s="107" t="s">
        <v>128</v>
      </c>
      <c r="W47" s="111" t="s">
        <v>129</v>
      </c>
      <c r="Y47" s="94"/>
      <c r="Z47" s="82" t="s">
        <v>267</v>
      </c>
      <c r="AA47" s="74" t="s">
        <v>265</v>
      </c>
      <c r="AB47" s="74" t="s">
        <v>284</v>
      </c>
      <c r="AC47" s="83" t="s">
        <v>285</v>
      </c>
    </row>
    <row r="48" spans="1:29" ht="15" thickBot="1">
      <c r="A48" s="94"/>
      <c r="B48" s="94"/>
      <c r="C48" s="94"/>
      <c r="D48" s="94"/>
      <c r="E48" s="94"/>
      <c r="F48" s="94"/>
      <c r="G48" s="94"/>
      <c r="H48" s="94"/>
      <c r="I48" s="82">
        <v>100</v>
      </c>
      <c r="J48" s="74">
        <v>0.9461</v>
      </c>
      <c r="K48" s="83">
        <v>9.278</v>
      </c>
      <c r="L48" s="82"/>
      <c r="M48" s="74">
        <v>0.9461</v>
      </c>
      <c r="N48" s="83">
        <v>9.278</v>
      </c>
      <c r="O48" s="94"/>
      <c r="P48" s="94"/>
      <c r="Q48" s="94"/>
      <c r="R48" s="94"/>
      <c r="S48" s="200"/>
      <c r="T48" s="218"/>
      <c r="U48" s="202"/>
      <c r="V48" s="108" t="s">
        <v>108</v>
      </c>
      <c r="W48" s="112" t="s">
        <v>109</v>
      </c>
      <c r="Y48" s="94"/>
      <c r="Z48" s="82" t="s">
        <v>286</v>
      </c>
      <c r="AA48" s="74" t="s">
        <v>287</v>
      </c>
      <c r="AB48" s="74">
        <v>0.72</v>
      </c>
      <c r="AC48" s="83"/>
    </row>
    <row r="49" spans="1:29" ht="39" customHeight="1" thickBot="1">
      <c r="A49" s="94"/>
      <c r="B49" s="94"/>
      <c r="C49" s="94"/>
      <c r="D49" s="94"/>
      <c r="E49" s="94"/>
      <c r="F49" s="94"/>
      <c r="G49" s="94"/>
      <c r="H49" s="94"/>
      <c r="I49" s="82">
        <v>200</v>
      </c>
      <c r="J49" s="74">
        <v>0.7461</v>
      </c>
      <c r="K49" s="83">
        <v>7.317</v>
      </c>
      <c r="L49" s="82"/>
      <c r="M49" s="74">
        <v>0.7461</v>
      </c>
      <c r="N49" s="83">
        <v>7.317</v>
      </c>
      <c r="O49" s="94"/>
      <c r="P49" s="94"/>
      <c r="Q49" s="94"/>
      <c r="R49" s="94"/>
      <c r="S49" s="82" t="s">
        <v>130</v>
      </c>
      <c r="T49" s="74"/>
      <c r="U49" s="74"/>
      <c r="V49" s="74"/>
      <c r="W49" s="83">
        <v>0.048</v>
      </c>
      <c r="Y49" s="94"/>
      <c r="Z49" s="82" t="s">
        <v>286</v>
      </c>
      <c r="AA49" s="74" t="s">
        <v>288</v>
      </c>
      <c r="AB49" s="74">
        <v>0.35</v>
      </c>
      <c r="AC49" s="83"/>
    </row>
    <row r="50" spans="1:29" ht="16.5" thickBot="1">
      <c r="A50" s="94"/>
      <c r="B50" s="94"/>
      <c r="C50" s="94"/>
      <c r="D50" s="94"/>
      <c r="E50" s="94"/>
      <c r="F50" s="94"/>
      <c r="G50" s="94"/>
      <c r="H50" s="94"/>
      <c r="I50" s="82">
        <v>300</v>
      </c>
      <c r="J50" s="74">
        <v>0.6159</v>
      </c>
      <c r="K50" s="83">
        <v>6.04</v>
      </c>
      <c r="L50" s="82"/>
      <c r="M50" s="74">
        <v>0.6159</v>
      </c>
      <c r="N50" s="83">
        <v>6.04</v>
      </c>
      <c r="O50" s="94"/>
      <c r="P50" s="94"/>
      <c r="Q50" s="94"/>
      <c r="R50" s="94"/>
      <c r="S50" s="82" t="s">
        <v>131</v>
      </c>
      <c r="T50" s="106" t="s">
        <v>132</v>
      </c>
      <c r="U50" s="74">
        <v>70.906</v>
      </c>
      <c r="V50" s="74" t="s">
        <v>133</v>
      </c>
      <c r="W50" s="83" t="s">
        <v>134</v>
      </c>
      <c r="Y50" s="94"/>
      <c r="Z50" s="82" t="s">
        <v>289</v>
      </c>
      <c r="AA50" s="74" t="s">
        <v>290</v>
      </c>
      <c r="AB50" s="74">
        <v>0.16</v>
      </c>
      <c r="AC50" s="83" t="s">
        <v>291</v>
      </c>
    </row>
    <row r="51" spans="1:29" ht="15" thickBot="1">
      <c r="A51" s="94"/>
      <c r="B51" s="94"/>
      <c r="C51" s="94"/>
      <c r="D51" s="94"/>
      <c r="E51" s="94"/>
      <c r="F51" s="94"/>
      <c r="G51" s="94"/>
      <c r="H51" s="94"/>
      <c r="I51" s="82">
        <v>400</v>
      </c>
      <c r="J51" s="74">
        <v>0.5243</v>
      </c>
      <c r="K51" s="83">
        <v>5.142</v>
      </c>
      <c r="L51" s="82"/>
      <c r="M51" s="74">
        <v>0.5243</v>
      </c>
      <c r="N51" s="83">
        <v>5.142</v>
      </c>
      <c r="O51" s="94"/>
      <c r="P51" s="94"/>
      <c r="Q51" s="94"/>
      <c r="R51" s="94"/>
      <c r="S51" s="82" t="s">
        <v>135</v>
      </c>
      <c r="T51" s="74"/>
      <c r="U51" s="74"/>
      <c r="V51" s="74" t="s">
        <v>136</v>
      </c>
      <c r="W51" s="83"/>
      <c r="Y51" s="94"/>
      <c r="Z51" s="82" t="s">
        <v>290</v>
      </c>
      <c r="AA51" s="74" t="s">
        <v>264</v>
      </c>
      <c r="AB51" s="74">
        <v>0.14</v>
      </c>
      <c r="AC51" s="83" t="s">
        <v>292</v>
      </c>
    </row>
    <row r="52" spans="1:29" ht="26.25" customHeight="1" thickBot="1">
      <c r="A52" s="94"/>
      <c r="B52" s="94"/>
      <c r="C52" s="94"/>
      <c r="D52" s="94"/>
      <c r="E52" s="94"/>
      <c r="F52" s="94"/>
      <c r="G52" s="94"/>
      <c r="H52" s="94"/>
      <c r="I52" s="82">
        <v>500</v>
      </c>
      <c r="J52" s="74">
        <v>0.4565</v>
      </c>
      <c r="K52" s="83">
        <v>4.477</v>
      </c>
      <c r="L52" s="82"/>
      <c r="M52" s="74">
        <v>0.4565</v>
      </c>
      <c r="N52" s="83">
        <v>4.477</v>
      </c>
      <c r="O52" s="94"/>
      <c r="P52" s="94"/>
      <c r="Q52" s="94"/>
      <c r="R52" s="94"/>
      <c r="S52" s="82" t="s">
        <v>137</v>
      </c>
      <c r="T52" s="74"/>
      <c r="U52" s="74"/>
      <c r="V52" s="74"/>
      <c r="W52" s="83" t="s">
        <v>138</v>
      </c>
      <c r="Y52" s="94"/>
      <c r="Z52" s="82" t="s">
        <v>278</v>
      </c>
      <c r="AA52" s="74" t="s">
        <v>278</v>
      </c>
      <c r="AB52" s="74">
        <v>0.41</v>
      </c>
      <c r="AC52" s="83">
        <v>0.34</v>
      </c>
    </row>
    <row r="53" spans="1:29" ht="26.25" customHeight="1" thickBot="1">
      <c r="A53" s="94"/>
      <c r="B53" s="94"/>
      <c r="C53" s="94"/>
      <c r="D53" s="94"/>
      <c r="E53" s="94"/>
      <c r="F53" s="94"/>
      <c r="G53" s="94"/>
      <c r="H53" s="94"/>
      <c r="I53" s="84">
        <v>1000</v>
      </c>
      <c r="J53" s="85">
        <v>0.2772</v>
      </c>
      <c r="K53" s="86">
        <v>2.719</v>
      </c>
      <c r="L53" s="84"/>
      <c r="M53" s="85">
        <v>0.2772</v>
      </c>
      <c r="N53" s="86">
        <v>2.719</v>
      </c>
      <c r="O53" s="94"/>
      <c r="P53" s="94"/>
      <c r="Q53" s="94"/>
      <c r="R53" s="94"/>
      <c r="S53" s="82" t="s">
        <v>139</v>
      </c>
      <c r="T53" s="74"/>
      <c r="U53" s="74"/>
      <c r="V53" s="74" t="s">
        <v>140</v>
      </c>
      <c r="W53" s="83" t="s">
        <v>141</v>
      </c>
      <c r="Y53" s="94"/>
      <c r="Z53" s="82" t="s">
        <v>293</v>
      </c>
      <c r="AA53" s="74" t="s">
        <v>264</v>
      </c>
      <c r="AB53" s="74">
        <v>0.22</v>
      </c>
      <c r="AC53" s="83"/>
    </row>
    <row r="54" spans="19:29" ht="27" customHeight="1" thickBot="1" thickTop="1">
      <c r="S54" s="82" t="s">
        <v>142</v>
      </c>
      <c r="T54" s="74"/>
      <c r="U54" s="74">
        <v>84.16</v>
      </c>
      <c r="V54" s="74"/>
      <c r="W54" s="83"/>
      <c r="Y54" s="94"/>
      <c r="Z54" s="82" t="s">
        <v>294</v>
      </c>
      <c r="AA54" s="74" t="s">
        <v>294</v>
      </c>
      <c r="AB54" s="74">
        <v>1</v>
      </c>
      <c r="AC54" s="83">
        <v>0.08</v>
      </c>
    </row>
    <row r="55" spans="19:29" ht="27.75" customHeight="1" thickBot="1">
      <c r="S55" s="82" t="s">
        <v>143</v>
      </c>
      <c r="T55" s="74"/>
      <c r="U55" s="74"/>
      <c r="V55" s="74"/>
      <c r="W55" s="83">
        <v>0.062</v>
      </c>
      <c r="Y55" s="94"/>
      <c r="Z55" s="82" t="s">
        <v>294</v>
      </c>
      <c r="AA55" s="74" t="s">
        <v>270</v>
      </c>
      <c r="AB55" s="74" t="s">
        <v>295</v>
      </c>
      <c r="AC55" s="83"/>
    </row>
    <row r="56" spans="19:29" ht="16.5" thickBot="1">
      <c r="S56" s="82" t="s">
        <v>144</v>
      </c>
      <c r="T56" s="106" t="s">
        <v>145</v>
      </c>
      <c r="U56" s="74">
        <v>30.07</v>
      </c>
      <c r="V56" s="74" t="s">
        <v>146</v>
      </c>
      <c r="W56" s="83" t="s">
        <v>147</v>
      </c>
      <c r="Y56" s="94"/>
      <c r="Z56" s="82" t="s">
        <v>294</v>
      </c>
      <c r="AA56" s="74" t="s">
        <v>265</v>
      </c>
      <c r="AB56" s="74" t="s">
        <v>296</v>
      </c>
      <c r="AC56" s="83" t="s">
        <v>297</v>
      </c>
    </row>
    <row r="57" spans="19:29" ht="26.25" customHeight="1" thickBot="1">
      <c r="S57" s="82" t="s">
        <v>148</v>
      </c>
      <c r="T57" s="74"/>
      <c r="U57" s="74">
        <v>46.07</v>
      </c>
      <c r="V57" s="74"/>
      <c r="W57" s="83"/>
      <c r="Y57" s="94"/>
      <c r="Z57" s="82" t="s">
        <v>298</v>
      </c>
      <c r="AA57" s="74" t="s">
        <v>298</v>
      </c>
      <c r="AB57" s="74">
        <v>0.1</v>
      </c>
      <c r="AC57" s="83" t="s">
        <v>299</v>
      </c>
    </row>
    <row r="58" spans="19:29" ht="26.25" customHeight="1" thickBot="1">
      <c r="S58" s="82" t="s">
        <v>149</v>
      </c>
      <c r="T58" s="74"/>
      <c r="U58" s="74">
        <v>64.52</v>
      </c>
      <c r="V58" s="74"/>
      <c r="W58" s="83"/>
      <c r="Y58" s="94"/>
      <c r="Z58" s="82" t="s">
        <v>298</v>
      </c>
      <c r="AA58" s="74" t="s">
        <v>300</v>
      </c>
      <c r="AB58" s="74" t="s">
        <v>301</v>
      </c>
      <c r="AC58" s="83">
        <v>0.1</v>
      </c>
    </row>
    <row r="59" spans="19:29" ht="16.5" thickBot="1">
      <c r="S59" s="82" t="s">
        <v>150</v>
      </c>
      <c r="T59" s="106" t="s">
        <v>151</v>
      </c>
      <c r="U59" s="74">
        <v>28.03</v>
      </c>
      <c r="V59" s="74" t="s">
        <v>152</v>
      </c>
      <c r="W59" s="83" t="s">
        <v>153</v>
      </c>
      <c r="Y59" s="94"/>
      <c r="Z59" s="199" t="s">
        <v>302</v>
      </c>
      <c r="AA59" s="201" t="s">
        <v>302</v>
      </c>
      <c r="AB59" s="201" t="s">
        <v>303</v>
      </c>
      <c r="AC59" s="111" t="s">
        <v>304</v>
      </c>
    </row>
    <row r="60" spans="19:29" ht="13.5" customHeight="1" thickBot="1">
      <c r="S60" s="162"/>
      <c r="T60" s="163"/>
      <c r="U60" s="161"/>
      <c r="V60" s="161"/>
      <c r="W60" s="164"/>
      <c r="Y60" s="94"/>
      <c r="Z60" s="215"/>
      <c r="AA60" s="216"/>
      <c r="AB60" s="216"/>
      <c r="AC60" s="79"/>
    </row>
    <row r="61" spans="19:29" ht="10.5" customHeight="1" thickBot="1">
      <c r="S61" s="162"/>
      <c r="T61" s="163"/>
      <c r="U61" s="161"/>
      <c r="V61" s="161"/>
      <c r="W61" s="164"/>
      <c r="Y61" s="94"/>
      <c r="Z61" s="215"/>
      <c r="AA61" s="216"/>
      <c r="AB61" s="216"/>
      <c r="AC61" s="79"/>
    </row>
    <row r="62" spans="19:29" ht="13.5" hidden="1" thickBot="1">
      <c r="S62" s="162"/>
      <c r="T62" s="163"/>
      <c r="U62" s="161"/>
      <c r="V62" s="161"/>
      <c r="W62" s="164"/>
      <c r="Y62" s="94"/>
      <c r="Z62" s="215"/>
      <c r="AA62" s="216"/>
      <c r="AB62" s="216"/>
      <c r="AC62" s="79"/>
    </row>
    <row r="63" spans="19:29" ht="13.5" hidden="1" thickBot="1">
      <c r="S63" s="162"/>
      <c r="T63" s="163"/>
      <c r="U63" s="161"/>
      <c r="V63" s="161"/>
      <c r="W63" s="164"/>
      <c r="Y63" s="94"/>
      <c r="Z63" s="215"/>
      <c r="AA63" s="216"/>
      <c r="AB63" s="216"/>
      <c r="AC63" s="79"/>
    </row>
    <row r="64" spans="19:29" ht="7.5" customHeight="1" thickBot="1">
      <c r="S64" s="199" t="s">
        <v>154</v>
      </c>
      <c r="T64" s="217" t="s">
        <v>155</v>
      </c>
      <c r="U64" s="201">
        <v>4.02</v>
      </c>
      <c r="V64" s="107" t="s">
        <v>156</v>
      </c>
      <c r="W64" s="111" t="s">
        <v>158</v>
      </c>
      <c r="Y64" s="94"/>
      <c r="Z64" s="200"/>
      <c r="AA64" s="202"/>
      <c r="AB64" s="202"/>
      <c r="AC64" s="112" t="s">
        <v>305</v>
      </c>
    </row>
    <row r="65" spans="19:29" ht="13.5" thickBot="1">
      <c r="S65" s="215"/>
      <c r="T65" s="219"/>
      <c r="U65" s="216"/>
      <c r="V65" s="72"/>
      <c r="W65" s="79"/>
      <c r="Y65" s="94"/>
      <c r="Z65" s="159"/>
      <c r="AA65" s="160"/>
      <c r="AB65" s="160"/>
      <c r="AC65" s="165"/>
    </row>
    <row r="66" spans="19:29" ht="13.5" thickBot="1">
      <c r="S66" s="215"/>
      <c r="T66" s="219"/>
      <c r="U66" s="216"/>
      <c r="V66" s="72"/>
      <c r="W66" s="79"/>
      <c r="Y66" s="94"/>
      <c r="Z66" s="159"/>
      <c r="AA66" s="160"/>
      <c r="AB66" s="160"/>
      <c r="AC66" s="165"/>
    </row>
    <row r="67" spans="19:29" ht="11.25" customHeight="1" thickBot="1">
      <c r="S67" s="200"/>
      <c r="T67" s="218"/>
      <c r="U67" s="202"/>
      <c r="V67" s="108" t="s">
        <v>157</v>
      </c>
      <c r="W67" s="112" t="s">
        <v>159</v>
      </c>
      <c r="Y67" s="94"/>
      <c r="Z67" s="82" t="s">
        <v>302</v>
      </c>
      <c r="AA67" s="74" t="s">
        <v>300</v>
      </c>
      <c r="AB67" s="74" t="s">
        <v>306</v>
      </c>
      <c r="AC67" s="83" t="s">
        <v>307</v>
      </c>
    </row>
    <row r="68" spans="19:29" ht="13.5" customHeight="1" thickBot="1">
      <c r="S68" s="82" t="s">
        <v>160</v>
      </c>
      <c r="T68" s="74"/>
      <c r="U68" s="74">
        <v>100.2</v>
      </c>
      <c r="V68" s="74"/>
      <c r="W68" s="83"/>
      <c r="Y68" s="94"/>
      <c r="Z68" s="82" t="s">
        <v>302</v>
      </c>
      <c r="AA68" s="74" t="s">
        <v>308</v>
      </c>
      <c r="AB68" s="74">
        <v>0.78</v>
      </c>
      <c r="AC68" s="83">
        <v>0.56</v>
      </c>
    </row>
    <row r="69" spans="19:29" ht="13.5" thickBot="1">
      <c r="S69" s="82" t="s">
        <v>161</v>
      </c>
      <c r="T69" s="74"/>
      <c r="U69" s="74">
        <v>86.17</v>
      </c>
      <c r="V69" s="74"/>
      <c r="W69" s="83"/>
      <c r="Y69" s="94"/>
      <c r="Z69" s="82" t="s">
        <v>309</v>
      </c>
      <c r="AA69" s="74" t="s">
        <v>264</v>
      </c>
      <c r="AB69" s="74">
        <v>0.1</v>
      </c>
      <c r="AC69" s="83">
        <v>0.1</v>
      </c>
    </row>
    <row r="70" spans="19:29" ht="26.25" thickBot="1">
      <c r="S70" s="82" t="s">
        <v>162</v>
      </c>
      <c r="T70" s="106" t="s">
        <v>163</v>
      </c>
      <c r="U70" s="74">
        <v>2.016</v>
      </c>
      <c r="V70" s="74" t="s">
        <v>164</v>
      </c>
      <c r="W70" s="83" t="s">
        <v>165</v>
      </c>
      <c r="Y70" s="94"/>
      <c r="Z70" s="82" t="s">
        <v>309</v>
      </c>
      <c r="AA70" s="74" t="s">
        <v>310</v>
      </c>
      <c r="AB70" s="74" t="s">
        <v>311</v>
      </c>
      <c r="AC70" s="83"/>
    </row>
    <row r="71" spans="19:29" ht="26.25" customHeight="1" thickBot="1">
      <c r="S71" s="82" t="s">
        <v>166</v>
      </c>
      <c r="T71" s="74"/>
      <c r="U71" s="74">
        <v>36.47</v>
      </c>
      <c r="V71" s="74" t="s">
        <v>167</v>
      </c>
      <c r="W71" s="83"/>
      <c r="Y71" s="94"/>
      <c r="Z71" s="82" t="s">
        <v>309</v>
      </c>
      <c r="AA71" s="74" t="s">
        <v>309</v>
      </c>
      <c r="AB71" s="74">
        <v>0.1</v>
      </c>
      <c r="AC71" s="83">
        <v>0.1</v>
      </c>
    </row>
    <row r="72" spans="19:29" ht="26.25" thickBot="1">
      <c r="S72" s="82" t="s">
        <v>168</v>
      </c>
      <c r="T72" s="106" t="s">
        <v>169</v>
      </c>
      <c r="U72" s="74">
        <v>36.5</v>
      </c>
      <c r="V72" s="74" t="s">
        <v>170</v>
      </c>
      <c r="W72" s="83" t="s">
        <v>171</v>
      </c>
      <c r="Y72" s="94"/>
      <c r="Z72" s="82" t="s">
        <v>312</v>
      </c>
      <c r="AA72" s="74" t="s">
        <v>313</v>
      </c>
      <c r="AB72" s="74">
        <v>0.5</v>
      </c>
      <c r="AC72" s="83"/>
    </row>
    <row r="73" spans="19:29" ht="26.25" customHeight="1" thickBot="1">
      <c r="S73" s="82" t="s">
        <v>172</v>
      </c>
      <c r="T73" s="106" t="s">
        <v>173</v>
      </c>
      <c r="U73" s="74">
        <v>34.076</v>
      </c>
      <c r="V73" s="74" t="s">
        <v>174</v>
      </c>
      <c r="W73" s="83" t="s">
        <v>175</v>
      </c>
      <c r="Y73" s="94"/>
      <c r="Z73" s="82" t="s">
        <v>314</v>
      </c>
      <c r="AA73" s="74" t="s">
        <v>315</v>
      </c>
      <c r="AB73" s="74">
        <v>0.68</v>
      </c>
      <c r="AC73" s="83"/>
    </row>
    <row r="74" spans="19:29" ht="15" thickBot="1">
      <c r="S74" s="82" t="s">
        <v>176</v>
      </c>
      <c r="T74" s="74"/>
      <c r="U74" s="74"/>
      <c r="V74" s="74" t="s">
        <v>177</v>
      </c>
      <c r="W74" s="83"/>
      <c r="Y74" s="94"/>
      <c r="Z74" s="82" t="s">
        <v>314</v>
      </c>
      <c r="AA74" s="74" t="s">
        <v>316</v>
      </c>
      <c r="AB74" s="74">
        <v>0.58</v>
      </c>
      <c r="AC74" s="83"/>
    </row>
    <row r="75" spans="19:29" ht="15" thickBot="1">
      <c r="S75" s="199" t="s">
        <v>178</v>
      </c>
      <c r="T75" s="217" t="s">
        <v>179</v>
      </c>
      <c r="U75" s="201">
        <v>16.043</v>
      </c>
      <c r="V75" s="107" t="s">
        <v>180</v>
      </c>
      <c r="W75" s="111" t="s">
        <v>182</v>
      </c>
      <c r="Y75" s="94"/>
      <c r="Z75" s="82" t="s">
        <v>317</v>
      </c>
      <c r="AA75" s="74" t="s">
        <v>317</v>
      </c>
      <c r="AB75" s="74" t="s">
        <v>318</v>
      </c>
      <c r="AC75" s="83"/>
    </row>
    <row r="76" spans="19:29" ht="15" thickBot="1">
      <c r="S76" s="200"/>
      <c r="T76" s="218"/>
      <c r="U76" s="202"/>
      <c r="V76" s="108" t="s">
        <v>181</v>
      </c>
      <c r="W76" s="112" t="s">
        <v>183</v>
      </c>
      <c r="Y76" s="94"/>
      <c r="Z76" s="82" t="s">
        <v>317</v>
      </c>
      <c r="AA76" s="74" t="s">
        <v>273</v>
      </c>
      <c r="AB76" s="74">
        <v>0.05</v>
      </c>
      <c r="AC76" s="83"/>
    </row>
    <row r="77" spans="19:29" ht="26.25" customHeight="1" thickBot="1">
      <c r="S77" s="82" t="s">
        <v>184</v>
      </c>
      <c r="T77" s="74"/>
      <c r="U77" s="74">
        <v>32.04</v>
      </c>
      <c r="V77" s="74"/>
      <c r="W77" s="83"/>
      <c r="Y77" s="94"/>
      <c r="Z77" s="82" t="s">
        <v>317</v>
      </c>
      <c r="AA77" s="74" t="s">
        <v>264</v>
      </c>
      <c r="AB77" s="74">
        <v>0.03</v>
      </c>
      <c r="AC77" s="83"/>
    </row>
    <row r="78" spans="9:29" ht="26.25" customHeight="1" thickBot="1">
      <c r="I78" s="189" t="s">
        <v>441</v>
      </c>
      <c r="J78" s="189"/>
      <c r="K78" s="189"/>
      <c r="L78" s="189"/>
      <c r="M78" s="189">
        <f>1.882*70/100</f>
        <v>1.3174</v>
      </c>
      <c r="N78" s="189" t="s">
        <v>442</v>
      </c>
      <c r="O78" s="189"/>
      <c r="S78" s="82" t="s">
        <v>185</v>
      </c>
      <c r="T78" s="74"/>
      <c r="U78" s="74">
        <v>72.15</v>
      </c>
      <c r="V78" s="74"/>
      <c r="W78" s="83"/>
      <c r="Y78" s="94"/>
      <c r="Z78" s="82" t="s">
        <v>319</v>
      </c>
      <c r="AA78" s="74" t="s">
        <v>319</v>
      </c>
      <c r="AB78" s="74">
        <v>1</v>
      </c>
      <c r="AC78" s="83" t="s">
        <v>320</v>
      </c>
    </row>
    <row r="79" spans="9:29" ht="26.25" customHeight="1" thickBot="1">
      <c r="I79" s="189"/>
      <c r="J79" s="189"/>
      <c r="K79" s="189"/>
      <c r="L79" s="189"/>
      <c r="M79" s="189"/>
      <c r="N79" s="189"/>
      <c r="O79" s="189"/>
      <c r="S79" s="82" t="s">
        <v>186</v>
      </c>
      <c r="T79" s="74"/>
      <c r="U79" s="74">
        <v>50.49</v>
      </c>
      <c r="V79" s="74"/>
      <c r="W79" s="83"/>
      <c r="Y79" s="94"/>
      <c r="Z79" s="82" t="s">
        <v>321</v>
      </c>
      <c r="AA79" s="74" t="s">
        <v>270</v>
      </c>
      <c r="AB79" s="74" t="s">
        <v>322</v>
      </c>
      <c r="AC79" s="83"/>
    </row>
    <row r="80" spans="19:29" ht="27.75" thickBot="1">
      <c r="S80" s="82" t="s">
        <v>187</v>
      </c>
      <c r="T80" s="74"/>
      <c r="U80" s="74">
        <v>19.5</v>
      </c>
      <c r="V80" s="74" t="s">
        <v>188</v>
      </c>
      <c r="W80" s="83" t="s">
        <v>189</v>
      </c>
      <c r="Y80" s="94"/>
      <c r="Z80" s="82" t="s">
        <v>323</v>
      </c>
      <c r="AA80" s="74" t="s">
        <v>282</v>
      </c>
      <c r="AB80" s="74" t="s">
        <v>324</v>
      </c>
      <c r="AC80" s="83"/>
    </row>
    <row r="81" spans="19:29" ht="27.75" thickBot="1">
      <c r="S81" s="82" t="s">
        <v>190</v>
      </c>
      <c r="T81" s="106" t="s">
        <v>191</v>
      </c>
      <c r="U81" s="74">
        <v>20.179</v>
      </c>
      <c r="V81" s="74" t="s">
        <v>192</v>
      </c>
      <c r="W81" s="83" t="s">
        <v>193</v>
      </c>
      <c r="Y81" s="94"/>
      <c r="Z81" s="82" t="s">
        <v>323</v>
      </c>
      <c r="AA81" s="74" t="s">
        <v>300</v>
      </c>
      <c r="AB81" s="74">
        <v>0.4</v>
      </c>
      <c r="AC81" s="83">
        <v>0.2</v>
      </c>
    </row>
    <row r="82" spans="19:29" ht="26.25" customHeight="1" thickBot="1">
      <c r="S82" s="82" t="s">
        <v>194</v>
      </c>
      <c r="T82" s="106" t="s">
        <v>195</v>
      </c>
      <c r="U82" s="74">
        <v>30</v>
      </c>
      <c r="V82" s="74" t="s">
        <v>196</v>
      </c>
      <c r="W82" s="83" t="s">
        <v>197</v>
      </c>
      <c r="Y82" s="94"/>
      <c r="Z82" s="82" t="s">
        <v>323</v>
      </c>
      <c r="AA82" s="74" t="s">
        <v>273</v>
      </c>
      <c r="AB82" s="74" t="s">
        <v>325</v>
      </c>
      <c r="AC82" s="83"/>
    </row>
    <row r="83" spans="19:29" ht="15" thickBot="1">
      <c r="S83" s="199" t="s">
        <v>198</v>
      </c>
      <c r="T83" s="217" t="s">
        <v>199</v>
      </c>
      <c r="U83" s="201">
        <v>28.02</v>
      </c>
      <c r="V83" s="107" t="s">
        <v>128</v>
      </c>
      <c r="W83" s="111" t="s">
        <v>129</v>
      </c>
      <c r="Y83" s="94"/>
      <c r="Z83" s="82" t="s">
        <v>323</v>
      </c>
      <c r="AA83" s="74" t="s">
        <v>326</v>
      </c>
      <c r="AB83" s="74">
        <v>0.6</v>
      </c>
      <c r="AC83" s="83"/>
    </row>
    <row r="84" spans="19:29" ht="27.75" thickBot="1">
      <c r="S84" s="200"/>
      <c r="T84" s="218"/>
      <c r="U84" s="202"/>
      <c r="V84" s="108" t="s">
        <v>200</v>
      </c>
      <c r="W84" s="112" t="s">
        <v>201</v>
      </c>
      <c r="Y84" s="94"/>
      <c r="Z84" s="82" t="s">
        <v>327</v>
      </c>
      <c r="AA84" s="74" t="s">
        <v>267</v>
      </c>
      <c r="AB84" s="74">
        <v>0.31</v>
      </c>
      <c r="AC84" s="83"/>
    </row>
    <row r="85" spans="19:29" ht="26.25" customHeight="1" thickBot="1">
      <c r="S85" s="82" t="s">
        <v>202</v>
      </c>
      <c r="T85" s="106" t="s">
        <v>203</v>
      </c>
      <c r="U85" s="74">
        <v>46.006</v>
      </c>
      <c r="V85" s="74"/>
      <c r="W85" s="83"/>
      <c r="Y85" s="94"/>
      <c r="Z85" s="82" t="s">
        <v>328</v>
      </c>
      <c r="AA85" s="74" t="s">
        <v>261</v>
      </c>
      <c r="AB85" s="74">
        <v>0.3</v>
      </c>
      <c r="AC85" s="83"/>
    </row>
    <row r="86" spans="19:29" ht="13.5" thickBot="1">
      <c r="S86" s="82" t="s">
        <v>204</v>
      </c>
      <c r="T86" s="74"/>
      <c r="U86" s="74">
        <v>114.22</v>
      </c>
      <c r="V86" s="74"/>
      <c r="W86" s="83"/>
      <c r="Y86" s="94"/>
      <c r="Z86" s="82" t="s">
        <v>329</v>
      </c>
      <c r="AA86" s="74" t="s">
        <v>329</v>
      </c>
      <c r="AB86" s="74">
        <v>0.6</v>
      </c>
      <c r="AC86" s="83">
        <v>0.08</v>
      </c>
    </row>
    <row r="87" spans="19:29" ht="26.25" customHeight="1" thickBot="1">
      <c r="S87" s="82" t="s">
        <v>205</v>
      </c>
      <c r="T87" s="106" t="s">
        <v>206</v>
      </c>
      <c r="U87" s="74">
        <v>44.013</v>
      </c>
      <c r="V87" s="74"/>
      <c r="W87" s="83">
        <v>0.114</v>
      </c>
      <c r="Y87" s="94"/>
      <c r="Z87" s="82" t="s">
        <v>330</v>
      </c>
      <c r="AA87" s="74" t="s">
        <v>272</v>
      </c>
      <c r="AB87" s="74" t="s">
        <v>331</v>
      </c>
      <c r="AC87" s="83"/>
    </row>
    <row r="88" spans="19:29" ht="26.25" customHeight="1" thickBot="1">
      <c r="S88" s="82" t="s">
        <v>207</v>
      </c>
      <c r="T88" s="106" t="s">
        <v>208</v>
      </c>
      <c r="U88" s="74">
        <v>62.005</v>
      </c>
      <c r="V88" s="74"/>
      <c r="W88" s="83"/>
      <c r="Y88" s="94"/>
      <c r="Z88" s="199" t="s">
        <v>308</v>
      </c>
      <c r="AA88" s="201" t="s">
        <v>308</v>
      </c>
      <c r="AB88" s="107" t="s">
        <v>332</v>
      </c>
      <c r="AC88" s="203" t="s">
        <v>334</v>
      </c>
    </row>
    <row r="89" spans="19:29" ht="15" thickBot="1">
      <c r="S89" s="199" t="s">
        <v>209</v>
      </c>
      <c r="T89" s="217" t="s">
        <v>210</v>
      </c>
      <c r="U89" s="201">
        <v>32</v>
      </c>
      <c r="V89" s="107" t="s">
        <v>211</v>
      </c>
      <c r="W89" s="111" t="s">
        <v>213</v>
      </c>
      <c r="Y89" s="94"/>
      <c r="Z89" s="200"/>
      <c r="AA89" s="202"/>
      <c r="AB89" s="108" t="s">
        <v>333</v>
      </c>
      <c r="AC89" s="204"/>
    </row>
    <row r="90" spans="19:29" ht="10.5" customHeight="1" thickBot="1">
      <c r="S90" s="200"/>
      <c r="T90" s="218"/>
      <c r="U90" s="202"/>
      <c r="V90" s="108" t="s">
        <v>212</v>
      </c>
      <c r="W90" s="112" t="s">
        <v>214</v>
      </c>
      <c r="Y90" s="94"/>
      <c r="Z90" s="82" t="s">
        <v>308</v>
      </c>
      <c r="AA90" s="74" t="s">
        <v>265</v>
      </c>
      <c r="AB90" s="74" t="s">
        <v>335</v>
      </c>
      <c r="AC90" s="83" t="s">
        <v>336</v>
      </c>
    </row>
    <row r="91" spans="19:29" ht="16.5" thickBot="1">
      <c r="S91" s="82" t="s">
        <v>215</v>
      </c>
      <c r="T91" s="106" t="s">
        <v>216</v>
      </c>
      <c r="U91" s="74">
        <v>48</v>
      </c>
      <c r="V91" s="74" t="s">
        <v>217</v>
      </c>
      <c r="W91" s="83">
        <v>0.125</v>
      </c>
      <c r="Y91" s="94"/>
      <c r="Z91" s="82" t="s">
        <v>337</v>
      </c>
      <c r="AA91" s="74" t="s">
        <v>337</v>
      </c>
      <c r="AB91" s="74" t="s">
        <v>338</v>
      </c>
      <c r="AC91" s="83"/>
    </row>
    <row r="92" spans="19:29" ht="26.25" customHeight="1" thickBot="1">
      <c r="S92" s="82" t="s">
        <v>218</v>
      </c>
      <c r="T92" s="74"/>
      <c r="U92" s="74">
        <v>72.15</v>
      </c>
      <c r="V92" s="74"/>
      <c r="W92" s="83"/>
      <c r="Y92" s="94"/>
      <c r="Z92" s="82" t="s">
        <v>282</v>
      </c>
      <c r="AA92" s="74" t="s">
        <v>339</v>
      </c>
      <c r="AB92" s="74" t="s">
        <v>340</v>
      </c>
      <c r="AC92" s="83"/>
    </row>
    <row r="93" spans="19:29" ht="26.25" customHeight="1" thickBot="1">
      <c r="S93" s="82" t="s">
        <v>219</v>
      </c>
      <c r="T93" s="74"/>
      <c r="U93" s="74">
        <v>72.15</v>
      </c>
      <c r="V93" s="74"/>
      <c r="W93" s="83"/>
      <c r="Y93" s="94"/>
      <c r="Z93" s="82" t="s">
        <v>282</v>
      </c>
      <c r="AA93" s="74" t="s">
        <v>341</v>
      </c>
      <c r="AB93" s="74" t="s">
        <v>342</v>
      </c>
      <c r="AC93" s="83">
        <v>0.0721</v>
      </c>
    </row>
    <row r="94" spans="19:29" ht="16.5" thickBot="1">
      <c r="S94" s="82" t="s">
        <v>220</v>
      </c>
      <c r="T94" s="106" t="s">
        <v>221</v>
      </c>
      <c r="U94" s="74">
        <v>44.09</v>
      </c>
      <c r="V94" s="74" t="s">
        <v>222</v>
      </c>
      <c r="W94" s="83" t="s">
        <v>223</v>
      </c>
      <c r="Y94" s="94"/>
      <c r="Z94" s="82" t="s">
        <v>343</v>
      </c>
      <c r="AA94" s="74" t="s">
        <v>270</v>
      </c>
      <c r="AB94" s="74">
        <v>0.2</v>
      </c>
      <c r="AC94" s="83"/>
    </row>
    <row r="95" spans="19:29" ht="39" customHeight="1" thickBot="1">
      <c r="S95" s="82" t="s">
        <v>224</v>
      </c>
      <c r="T95" s="106" t="s">
        <v>225</v>
      </c>
      <c r="U95" s="74">
        <v>42.1</v>
      </c>
      <c r="V95" s="74" t="s">
        <v>226</v>
      </c>
      <c r="W95" s="83" t="s">
        <v>227</v>
      </c>
      <c r="Y95" s="94"/>
      <c r="Z95" s="82" t="s">
        <v>344</v>
      </c>
      <c r="AA95" s="74" t="s">
        <v>264</v>
      </c>
      <c r="AB95" s="74">
        <v>0.35</v>
      </c>
      <c r="AC95" s="83"/>
    </row>
    <row r="96" spans="19:29" ht="13.5" thickBot="1">
      <c r="S96" s="82" t="s">
        <v>228</v>
      </c>
      <c r="T96" s="74"/>
      <c r="U96" s="74">
        <v>137.37</v>
      </c>
      <c r="V96" s="74"/>
      <c r="W96" s="83"/>
      <c r="Y96" s="94"/>
      <c r="Z96" s="82" t="s">
        <v>345</v>
      </c>
      <c r="AA96" s="74" t="s">
        <v>345</v>
      </c>
      <c r="AB96" s="74">
        <v>1.2</v>
      </c>
      <c r="AC96" s="83">
        <v>0.25</v>
      </c>
    </row>
    <row r="97" spans="19:29" ht="13.5" thickBot="1">
      <c r="S97" s="82" t="s">
        <v>229</v>
      </c>
      <c r="T97" s="74"/>
      <c r="U97" s="74">
        <v>120.92</v>
      </c>
      <c r="V97" s="74"/>
      <c r="W97" s="83"/>
      <c r="Y97" s="94"/>
      <c r="Z97" s="82" t="s">
        <v>346</v>
      </c>
      <c r="AA97" s="74" t="s">
        <v>346</v>
      </c>
      <c r="AB97" s="74">
        <v>0.8</v>
      </c>
      <c r="AC97" s="83">
        <v>0.8</v>
      </c>
    </row>
    <row r="98" spans="19:29" ht="13.5" thickBot="1">
      <c r="S98" s="82" t="s">
        <v>230</v>
      </c>
      <c r="T98" s="74"/>
      <c r="U98" s="74">
        <v>86.48</v>
      </c>
      <c r="V98" s="74"/>
      <c r="W98" s="83"/>
      <c r="Y98" s="94"/>
      <c r="Z98" s="82" t="s">
        <v>346</v>
      </c>
      <c r="AA98" s="74" t="s">
        <v>264</v>
      </c>
      <c r="AB98" s="74" t="s">
        <v>347</v>
      </c>
      <c r="AC98" s="83" t="s">
        <v>348</v>
      </c>
    </row>
    <row r="99" spans="19:29" ht="13.5" thickBot="1">
      <c r="S99" s="82" t="s">
        <v>231</v>
      </c>
      <c r="T99" s="74"/>
      <c r="U99" s="74">
        <v>170.93</v>
      </c>
      <c r="V99" s="74"/>
      <c r="W99" s="83"/>
      <c r="Y99" s="94"/>
      <c r="Z99" s="82" t="s">
        <v>349</v>
      </c>
      <c r="AA99" s="74" t="s">
        <v>349</v>
      </c>
      <c r="AB99" s="74">
        <v>0.5</v>
      </c>
      <c r="AC99" s="83">
        <v>0.5</v>
      </c>
    </row>
    <row r="100" spans="19:29" ht="13.5" thickBot="1">
      <c r="S100" s="82" t="s">
        <v>232</v>
      </c>
      <c r="T100" s="74"/>
      <c r="U100" s="74">
        <v>152.93</v>
      </c>
      <c r="V100" s="74"/>
      <c r="W100" s="83"/>
      <c r="Y100" s="94"/>
      <c r="Z100" s="82" t="s">
        <v>349</v>
      </c>
      <c r="AA100" s="74" t="s">
        <v>264</v>
      </c>
      <c r="AB100" s="74" t="s">
        <v>350</v>
      </c>
      <c r="AC100" s="83" t="s">
        <v>351</v>
      </c>
    </row>
    <row r="101" spans="19:29" ht="13.5" thickBot="1">
      <c r="S101" s="82" t="s">
        <v>233</v>
      </c>
      <c r="T101" s="74"/>
      <c r="U101" s="74">
        <v>102.03</v>
      </c>
      <c r="V101" s="74"/>
      <c r="W101" s="83"/>
      <c r="Y101" s="94"/>
      <c r="Z101" s="82" t="s">
        <v>352</v>
      </c>
      <c r="AA101" s="74" t="s">
        <v>264</v>
      </c>
      <c r="AB101" s="74">
        <v>0.2</v>
      </c>
      <c r="AC101" s="83">
        <v>0.2</v>
      </c>
    </row>
    <row r="102" spans="19:29" ht="13.5" thickBot="1">
      <c r="S102" s="82" t="s">
        <v>234</v>
      </c>
      <c r="T102" s="74"/>
      <c r="U102" s="74"/>
      <c r="V102" s="74"/>
      <c r="W102" s="83">
        <v>0.032</v>
      </c>
      <c r="Y102" s="94"/>
      <c r="Z102" s="82" t="s">
        <v>349</v>
      </c>
      <c r="AA102" s="74" t="s">
        <v>349</v>
      </c>
      <c r="AB102" s="74">
        <v>0.5</v>
      </c>
      <c r="AC102" s="83">
        <v>0.5</v>
      </c>
    </row>
    <row r="103" spans="19:29" ht="13.5" thickBot="1">
      <c r="S103" s="82" t="s">
        <v>235</v>
      </c>
      <c r="T103" s="106" t="s">
        <v>236</v>
      </c>
      <c r="U103" s="74">
        <v>32.06</v>
      </c>
      <c r="V103" s="74"/>
      <c r="W103" s="83">
        <v>0.135</v>
      </c>
      <c r="Y103" s="94"/>
      <c r="Z103" s="82" t="s">
        <v>315</v>
      </c>
      <c r="AA103" s="74" t="s">
        <v>315</v>
      </c>
      <c r="AB103" s="74">
        <v>1.16</v>
      </c>
      <c r="AC103" s="83"/>
    </row>
    <row r="104" spans="19:29" ht="15" thickBot="1">
      <c r="S104" s="199" t="s">
        <v>237</v>
      </c>
      <c r="T104" s="217" t="s">
        <v>238</v>
      </c>
      <c r="U104" s="201">
        <v>64.06</v>
      </c>
      <c r="V104" s="107" t="s">
        <v>239</v>
      </c>
      <c r="W104" s="111" t="s">
        <v>241</v>
      </c>
      <c r="Y104" s="94"/>
      <c r="Z104" s="82" t="s">
        <v>315</v>
      </c>
      <c r="AA104" s="74" t="s">
        <v>353</v>
      </c>
      <c r="AB104" s="74" t="s">
        <v>311</v>
      </c>
      <c r="AC104" s="83"/>
    </row>
    <row r="105" spans="19:29" ht="15" thickBot="1">
      <c r="S105" s="200"/>
      <c r="T105" s="218"/>
      <c r="U105" s="202"/>
      <c r="V105" s="108" t="s">
        <v>240</v>
      </c>
      <c r="W105" s="112" t="s">
        <v>242</v>
      </c>
      <c r="Y105" s="94"/>
      <c r="Z105" s="82" t="s">
        <v>315</v>
      </c>
      <c r="AA105" s="74" t="s">
        <v>354</v>
      </c>
      <c r="AB105" s="74" t="s">
        <v>355</v>
      </c>
      <c r="AC105" s="83"/>
    </row>
    <row r="106" spans="19:29" ht="26.25" customHeight="1" thickBot="1">
      <c r="S106" s="82" t="s">
        <v>243</v>
      </c>
      <c r="T106" s="106" t="s">
        <v>244</v>
      </c>
      <c r="U106" s="74">
        <v>80.062</v>
      </c>
      <c r="V106" s="74"/>
      <c r="W106" s="83"/>
      <c r="Y106" s="94"/>
      <c r="Z106" s="82" t="s">
        <v>315</v>
      </c>
      <c r="AA106" s="74" t="s">
        <v>356</v>
      </c>
      <c r="AB106" s="74" t="s">
        <v>357</v>
      </c>
      <c r="AC106" s="83"/>
    </row>
    <row r="107" spans="19:29" ht="26.25" customHeight="1" thickBot="1">
      <c r="S107" s="82" t="s">
        <v>245</v>
      </c>
      <c r="T107" s="106" t="s">
        <v>246</v>
      </c>
      <c r="U107" s="74">
        <v>48.063</v>
      </c>
      <c r="V107" s="74"/>
      <c r="W107" s="83"/>
      <c r="Y107" s="94"/>
      <c r="Z107" s="82" t="s">
        <v>315</v>
      </c>
      <c r="AA107" s="74" t="s">
        <v>358</v>
      </c>
      <c r="AB107" s="74" t="s">
        <v>359</v>
      </c>
      <c r="AC107" s="83"/>
    </row>
    <row r="108" spans="19:29" ht="16.5" thickBot="1">
      <c r="S108" s="82" t="s">
        <v>247</v>
      </c>
      <c r="T108" s="106" t="s">
        <v>248</v>
      </c>
      <c r="U108" s="74">
        <v>92.141</v>
      </c>
      <c r="V108" s="74">
        <v>4.111</v>
      </c>
      <c r="W108" s="83">
        <v>0.2435</v>
      </c>
      <c r="Y108" s="94"/>
      <c r="Z108" s="82" t="s">
        <v>315</v>
      </c>
      <c r="AA108" s="74" t="s">
        <v>360</v>
      </c>
      <c r="AB108" s="74" t="s">
        <v>361</v>
      </c>
      <c r="AC108" s="83"/>
    </row>
    <row r="109" spans="19:29" ht="39" customHeight="1" thickBot="1">
      <c r="S109" s="82" t="s">
        <v>249</v>
      </c>
      <c r="T109" s="106" t="s">
        <v>250</v>
      </c>
      <c r="U109" s="74">
        <v>18.016</v>
      </c>
      <c r="V109" s="74">
        <v>0.804</v>
      </c>
      <c r="W109" s="83">
        <v>0.048</v>
      </c>
      <c r="Y109" s="94"/>
      <c r="Z109" s="82" t="s">
        <v>362</v>
      </c>
      <c r="AA109" s="74" t="s">
        <v>362</v>
      </c>
      <c r="AB109" s="74">
        <v>1.4</v>
      </c>
      <c r="AC109" s="83">
        <v>0.55</v>
      </c>
    </row>
    <row r="110" spans="19:29" ht="27.75" customHeight="1" thickBot="1">
      <c r="S110" s="82" t="s">
        <v>251</v>
      </c>
      <c r="T110" s="74"/>
      <c r="U110" s="74"/>
      <c r="V110" s="74"/>
      <c r="W110" s="83">
        <v>0.054</v>
      </c>
      <c r="Y110" s="94"/>
      <c r="Z110" s="82" t="s">
        <v>363</v>
      </c>
      <c r="AA110" s="74" t="s">
        <v>363</v>
      </c>
      <c r="AB110" s="74">
        <v>0.2</v>
      </c>
      <c r="AC110" s="83">
        <v>0.2</v>
      </c>
    </row>
    <row r="111" spans="19:29" ht="15" thickBot="1">
      <c r="S111" s="84" t="s">
        <v>252</v>
      </c>
      <c r="T111" s="85"/>
      <c r="U111" s="85"/>
      <c r="V111" s="85" t="s">
        <v>253</v>
      </c>
      <c r="W111" s="86"/>
      <c r="Y111" s="94"/>
      <c r="Z111" s="82" t="s">
        <v>362</v>
      </c>
      <c r="AA111" s="74" t="s">
        <v>362</v>
      </c>
      <c r="AB111" s="74">
        <v>1.4</v>
      </c>
      <c r="AC111" s="83">
        <v>0.55</v>
      </c>
    </row>
    <row r="112" spans="25:29" ht="14.25" thickBot="1" thickTop="1">
      <c r="Y112" s="94"/>
      <c r="Z112" s="82" t="s">
        <v>364</v>
      </c>
      <c r="AA112" s="74" t="s">
        <v>365</v>
      </c>
      <c r="AB112" s="74" t="s">
        <v>366</v>
      </c>
      <c r="AC112" s="83"/>
    </row>
    <row r="113" spans="25:29" ht="13.5" thickBot="1">
      <c r="Y113" s="94"/>
      <c r="Z113" s="82" t="s">
        <v>264</v>
      </c>
      <c r="AA113" s="74" t="s">
        <v>264</v>
      </c>
      <c r="AB113" s="74" t="s">
        <v>311</v>
      </c>
      <c r="AC113" s="83">
        <v>0.16</v>
      </c>
    </row>
    <row r="114" spans="25:29" ht="13.5" thickBot="1">
      <c r="Y114" s="94"/>
      <c r="Z114" s="82" t="s">
        <v>367</v>
      </c>
      <c r="AA114" s="74" t="s">
        <v>270</v>
      </c>
      <c r="AB114" s="74">
        <v>0.26</v>
      </c>
      <c r="AC114" s="83"/>
    </row>
    <row r="115" spans="25:29" ht="13.5" thickBot="1">
      <c r="Y115" s="94"/>
      <c r="Z115" s="82" t="s">
        <v>368</v>
      </c>
      <c r="AA115" s="74" t="s">
        <v>261</v>
      </c>
      <c r="AB115" s="74">
        <v>0.27</v>
      </c>
      <c r="AC115" s="83"/>
    </row>
    <row r="116" spans="25:29" ht="13.5" thickBot="1">
      <c r="Y116" s="94"/>
      <c r="Z116" s="82" t="s">
        <v>369</v>
      </c>
      <c r="AA116" s="74" t="s">
        <v>270</v>
      </c>
      <c r="AB116" s="74">
        <v>0.15</v>
      </c>
      <c r="AC116" s="83"/>
    </row>
    <row r="117" spans="25:29" ht="13.5" thickBot="1">
      <c r="Y117" s="94"/>
      <c r="Z117" s="82" t="s">
        <v>369</v>
      </c>
      <c r="AA117" s="74" t="s">
        <v>261</v>
      </c>
      <c r="AB117" s="74">
        <v>0.18</v>
      </c>
      <c r="AC117" s="83"/>
    </row>
    <row r="118" spans="25:29" ht="15" thickBot="1">
      <c r="Y118" s="94"/>
      <c r="Z118" s="82" t="s">
        <v>370</v>
      </c>
      <c r="AA118" s="74" t="s">
        <v>370</v>
      </c>
      <c r="AB118" s="74">
        <v>0.04</v>
      </c>
      <c r="AC118" s="83" t="s">
        <v>371</v>
      </c>
    </row>
    <row r="119" spans="25:29" ht="13.5" thickBot="1">
      <c r="Y119" s="94"/>
      <c r="Z119" s="82" t="s">
        <v>370</v>
      </c>
      <c r="AA119" s="74" t="s">
        <v>264</v>
      </c>
      <c r="AB119" s="74" t="s">
        <v>372</v>
      </c>
      <c r="AC119" s="83"/>
    </row>
    <row r="120" spans="25:29" ht="13.5" thickBot="1">
      <c r="Y120" s="94"/>
      <c r="Z120" s="82" t="s">
        <v>373</v>
      </c>
      <c r="AA120" s="74" t="s">
        <v>264</v>
      </c>
      <c r="AB120" s="74" t="s">
        <v>374</v>
      </c>
      <c r="AC120" s="83" t="s">
        <v>375</v>
      </c>
    </row>
    <row r="121" spans="25:29" ht="13.5" thickBot="1">
      <c r="Y121" s="94"/>
      <c r="Z121" s="82" t="s">
        <v>373</v>
      </c>
      <c r="AA121" s="74" t="s">
        <v>373</v>
      </c>
      <c r="AB121" s="74" t="s">
        <v>376</v>
      </c>
      <c r="AC121" s="83">
        <v>0.12</v>
      </c>
    </row>
    <row r="122" spans="25:29" ht="13.5" thickBot="1">
      <c r="Y122" s="94"/>
      <c r="Z122" s="82" t="s">
        <v>373</v>
      </c>
      <c r="AA122" s="74" t="s">
        <v>294</v>
      </c>
      <c r="AB122" s="74">
        <v>0.35</v>
      </c>
      <c r="AC122" s="83"/>
    </row>
    <row r="123" spans="25:29" ht="13.5" thickBot="1">
      <c r="Y123" s="94"/>
      <c r="Z123" s="82" t="s">
        <v>373</v>
      </c>
      <c r="AA123" s="74" t="s">
        <v>319</v>
      </c>
      <c r="AB123" s="74">
        <v>0.8</v>
      </c>
      <c r="AC123" s="83"/>
    </row>
    <row r="124" spans="25:29" ht="15" thickBot="1">
      <c r="Y124" s="94"/>
      <c r="Z124" s="82" t="s">
        <v>377</v>
      </c>
      <c r="AA124" s="74" t="s">
        <v>270</v>
      </c>
      <c r="AB124" s="74" t="s">
        <v>378</v>
      </c>
      <c r="AC124" s="83"/>
    </row>
    <row r="125" spans="25:29" ht="13.5" thickBot="1">
      <c r="Y125" s="94"/>
      <c r="Z125" s="82" t="s">
        <v>379</v>
      </c>
      <c r="AA125" s="74" t="s">
        <v>380</v>
      </c>
      <c r="AB125" s="74">
        <v>1</v>
      </c>
      <c r="AC125" s="83"/>
    </row>
    <row r="126" spans="25:29" ht="13.5" thickBot="1">
      <c r="Y126" s="94"/>
      <c r="Z126" s="82" t="s">
        <v>381</v>
      </c>
      <c r="AA126" s="74" t="s">
        <v>382</v>
      </c>
      <c r="AB126" s="74">
        <v>0.2</v>
      </c>
      <c r="AC126" s="83"/>
    </row>
    <row r="127" spans="25:29" ht="13.5" thickBot="1">
      <c r="Y127" s="94"/>
      <c r="Z127" s="82" t="s">
        <v>273</v>
      </c>
      <c r="AA127" s="74" t="s">
        <v>383</v>
      </c>
      <c r="AB127" s="74" t="s">
        <v>384</v>
      </c>
      <c r="AC127" s="83"/>
    </row>
    <row r="128" spans="25:29" ht="13.5" thickBot="1">
      <c r="Y128" s="94"/>
      <c r="Z128" s="82" t="s">
        <v>273</v>
      </c>
      <c r="AA128" s="74" t="s">
        <v>385</v>
      </c>
      <c r="AB128" s="74">
        <v>0.2</v>
      </c>
      <c r="AC128" s="83"/>
    </row>
    <row r="129" spans="25:29" ht="13.5" thickBot="1">
      <c r="Y129" s="94"/>
      <c r="Z129" s="82" t="s">
        <v>273</v>
      </c>
      <c r="AA129" s="74" t="s">
        <v>326</v>
      </c>
      <c r="AB129" s="74" t="s">
        <v>386</v>
      </c>
      <c r="AC129" s="83"/>
    </row>
    <row r="130" spans="25:29" ht="13.5" thickBot="1">
      <c r="Y130" s="94"/>
      <c r="Z130" s="82" t="s">
        <v>273</v>
      </c>
      <c r="AA130" s="74" t="s">
        <v>387</v>
      </c>
      <c r="AB130" s="74">
        <v>0.2</v>
      </c>
      <c r="AC130" s="83"/>
    </row>
    <row r="131" spans="26:29" ht="13.5" thickBot="1">
      <c r="Z131" s="82" t="s">
        <v>273</v>
      </c>
      <c r="AA131" s="74" t="s">
        <v>388</v>
      </c>
      <c r="AB131" s="74" t="s">
        <v>389</v>
      </c>
      <c r="AC131" s="83"/>
    </row>
    <row r="132" spans="26:29" ht="13.5" thickBot="1">
      <c r="Z132" s="82" t="s">
        <v>273</v>
      </c>
      <c r="AA132" s="74" t="s">
        <v>316</v>
      </c>
      <c r="AB132" s="74">
        <v>0.62</v>
      </c>
      <c r="AC132" s="83"/>
    </row>
    <row r="133" spans="26:29" ht="13.5" thickBot="1">
      <c r="Z133" s="82" t="s">
        <v>273</v>
      </c>
      <c r="AA133" s="74" t="s">
        <v>272</v>
      </c>
      <c r="AB133" s="74">
        <v>0.6</v>
      </c>
      <c r="AC133" s="83"/>
    </row>
    <row r="134" spans="26:29" ht="15" thickBot="1">
      <c r="Z134" s="82" t="s">
        <v>390</v>
      </c>
      <c r="AA134" s="74" t="s">
        <v>391</v>
      </c>
      <c r="AB134" s="74" t="s">
        <v>392</v>
      </c>
      <c r="AC134" s="83"/>
    </row>
    <row r="135" spans="26:29" ht="15" thickBot="1">
      <c r="Z135" s="82" t="s">
        <v>390</v>
      </c>
      <c r="AA135" s="74" t="s">
        <v>393</v>
      </c>
      <c r="AB135" s="74" t="s">
        <v>394</v>
      </c>
      <c r="AC135" s="83"/>
    </row>
    <row r="136" spans="26:29" ht="15" thickBot="1">
      <c r="Z136" s="82" t="s">
        <v>395</v>
      </c>
      <c r="AA136" s="74" t="s">
        <v>270</v>
      </c>
      <c r="AB136" s="74" t="s">
        <v>396</v>
      </c>
      <c r="AC136" s="83"/>
    </row>
    <row r="137" spans="26:29" ht="13.5" thickBot="1">
      <c r="Z137" s="84" t="s">
        <v>395</v>
      </c>
      <c r="AA137" s="85" t="s">
        <v>395</v>
      </c>
      <c r="AB137" s="85">
        <v>0.6</v>
      </c>
      <c r="AC137" s="86">
        <v>0.04</v>
      </c>
    </row>
    <row r="138" ht="13.5" thickTop="1"/>
  </sheetData>
  <sheetProtection/>
  <mergeCells count="50">
    <mergeCell ref="M6:N6"/>
    <mergeCell ref="M14:N14"/>
    <mergeCell ref="S29:S30"/>
    <mergeCell ref="T29:T30"/>
    <mergeCell ref="V29:W29"/>
    <mergeCell ref="S31:S32"/>
    <mergeCell ref="T31:T32"/>
    <mergeCell ref="U31:U32"/>
    <mergeCell ref="U33:U34"/>
    <mergeCell ref="S35:S36"/>
    <mergeCell ref="T35:T36"/>
    <mergeCell ref="U35:U36"/>
    <mergeCell ref="S37:S38"/>
    <mergeCell ref="T37:T38"/>
    <mergeCell ref="U37:U38"/>
    <mergeCell ref="S33:S34"/>
    <mergeCell ref="T33:T34"/>
    <mergeCell ref="S41:S42"/>
    <mergeCell ref="T41:T42"/>
    <mergeCell ref="U41:U42"/>
    <mergeCell ref="S44:S45"/>
    <mergeCell ref="T44:T45"/>
    <mergeCell ref="U44:U45"/>
    <mergeCell ref="S47:S48"/>
    <mergeCell ref="T47:T48"/>
    <mergeCell ref="U47:U48"/>
    <mergeCell ref="S64:S67"/>
    <mergeCell ref="T64:T67"/>
    <mergeCell ref="U64:U67"/>
    <mergeCell ref="S75:S76"/>
    <mergeCell ref="T75:T76"/>
    <mergeCell ref="U75:U76"/>
    <mergeCell ref="S83:S84"/>
    <mergeCell ref="T83:T84"/>
    <mergeCell ref="U83:U84"/>
    <mergeCell ref="S89:S90"/>
    <mergeCell ref="T89:T90"/>
    <mergeCell ref="U89:U90"/>
    <mergeCell ref="S104:S105"/>
    <mergeCell ref="T104:T105"/>
    <mergeCell ref="U104:U105"/>
    <mergeCell ref="Z88:Z89"/>
    <mergeCell ref="AA88:AA89"/>
    <mergeCell ref="AC88:AC89"/>
    <mergeCell ref="Z28:AA30"/>
    <mergeCell ref="AB28:AC28"/>
    <mergeCell ref="AB29:AC29"/>
    <mergeCell ref="Z59:Z64"/>
    <mergeCell ref="AA59:AA64"/>
    <mergeCell ref="AB59:AB64"/>
  </mergeCells>
  <hyperlinks>
    <hyperlink ref="C29" r:id="rId1" display="http://www.engineeringtoolbox.com/density-specific-weight-gravity-d_290.html"/>
    <hyperlink ref="D29" r:id="rId2" display="http://www.engineeringtoolbox.com/density-specific-weight-gravity-d_290.html"/>
    <hyperlink ref="I28" r:id="rId3" display="http://www.engineeringtoolbox.com/density-specific-weight-gravity-d_290.html"/>
    <hyperlink ref="I30" r:id="rId4" display="http://www.engineeringtoolbox.com/temperature-d_291.html"/>
    <hyperlink ref="J30" r:id="rId5" display="http://www.engineeringtoolbox.com/density-specific-weight-gravity-d_290.html"/>
    <hyperlink ref="K30" r:id="rId6" display="http://www.engineeringtoolbox.com/density-specific-weight-gravity-d_290.html"/>
    <hyperlink ref="N30" r:id="rId7" display="http://www.engineeringtoolbox.com/density-specific-weight-gravity-d_290.html"/>
    <hyperlink ref="M30" r:id="rId8" display="http://www.engineeringtoolbox.com/density-specific-weight-gravity-d_290.html"/>
    <hyperlink ref="V29" r:id="rId9" display="http://www.engineeringtoolbox.com/density-specific-weight-gravity-d_290.html"/>
  </hyperlinks>
  <printOptions/>
  <pageMargins left="0.75" right="0.75" top="1" bottom="1" header="0.5" footer="0.5"/>
  <pageSetup fitToHeight="0" fitToWidth="1" horizontalDpi="600" verticalDpi="600" orientation="landscape" paperSize="8" scale="53" r:id="rId10"/>
  <rowBreaks count="1" manualBreakCount="1">
    <brk id="65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52"/>
  <sheetViews>
    <sheetView zoomScalePageLayoutView="0" workbookViewId="0" topLeftCell="A1">
      <selection activeCell="E9" sqref="E9"/>
    </sheetView>
  </sheetViews>
  <sheetFormatPr defaultColWidth="9.140625" defaultRowHeight="12.75"/>
  <sheetData>
    <row r="1" spans="1:22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3.5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ht="12.75">
      <c r="A3" s="10"/>
      <c r="B3" s="18"/>
      <c r="C3" s="19"/>
      <c r="D3" s="19"/>
      <c r="E3" s="19"/>
      <c r="F3" s="20"/>
      <c r="G3" s="11"/>
      <c r="H3" s="11"/>
      <c r="I3" s="11"/>
      <c r="J3" s="11"/>
      <c r="K3" s="11"/>
      <c r="L3" s="11"/>
      <c r="M3" s="11"/>
      <c r="N3" s="11"/>
      <c r="O3" s="10"/>
      <c r="P3" s="10"/>
      <c r="Q3" s="10"/>
      <c r="R3" s="10"/>
      <c r="S3" s="10"/>
      <c r="T3" s="10"/>
      <c r="U3" s="10"/>
      <c r="V3" s="10"/>
    </row>
    <row r="4" spans="1:22" ht="19.5">
      <c r="A4" s="10"/>
      <c r="B4" s="22" t="s">
        <v>28</v>
      </c>
      <c r="C4" s="3"/>
      <c r="D4" s="4"/>
      <c r="E4" s="4"/>
      <c r="F4" s="23"/>
      <c r="G4" s="11"/>
      <c r="H4" s="11"/>
      <c r="I4" s="11"/>
      <c r="J4" s="11"/>
      <c r="K4" s="12"/>
      <c r="L4" s="12"/>
      <c r="M4" s="12"/>
      <c r="N4" s="12"/>
      <c r="O4" s="10"/>
      <c r="P4" s="10"/>
      <c r="Q4" s="10"/>
      <c r="R4" s="10"/>
      <c r="S4" s="10"/>
      <c r="T4" s="10"/>
      <c r="U4" s="10"/>
      <c r="V4" s="10"/>
    </row>
    <row r="5" spans="1:22" ht="12.75">
      <c r="A5" s="10"/>
      <c r="B5" s="24"/>
      <c r="C5" s="4"/>
      <c r="D5" s="4"/>
      <c r="E5" s="4"/>
      <c r="F5" s="23"/>
      <c r="G5" s="11"/>
      <c r="H5" s="11"/>
      <c r="I5" s="11"/>
      <c r="J5" s="230"/>
      <c r="K5" s="230"/>
      <c r="L5" s="14"/>
      <c r="M5" s="13"/>
      <c r="N5" s="12"/>
      <c r="O5" s="10"/>
      <c r="P5" s="10"/>
      <c r="Q5" s="10"/>
      <c r="R5" s="10"/>
      <c r="S5" s="10"/>
      <c r="T5" s="10"/>
      <c r="U5" s="10"/>
      <c r="V5" s="10"/>
    </row>
    <row r="6" spans="1:22" ht="12.75">
      <c r="A6" s="10"/>
      <c r="B6" s="24" t="s">
        <v>42</v>
      </c>
      <c r="C6" s="4"/>
      <c r="D6" s="4"/>
      <c r="E6" s="29">
        <v>0.04</v>
      </c>
      <c r="F6" s="53" t="s">
        <v>41</v>
      </c>
      <c r="G6" s="11"/>
      <c r="H6" s="11"/>
      <c r="I6" s="11"/>
      <c r="J6" s="15"/>
      <c r="K6" s="15"/>
      <c r="L6" s="15"/>
      <c r="M6" s="15"/>
      <c r="N6" s="12"/>
      <c r="O6" s="10"/>
      <c r="P6" s="10"/>
      <c r="Q6" s="10"/>
      <c r="R6" s="10"/>
      <c r="S6" s="10"/>
      <c r="T6" s="10"/>
      <c r="U6" s="10"/>
      <c r="V6" s="10"/>
    </row>
    <row r="7" spans="1:22" ht="12.75">
      <c r="A7" s="10"/>
      <c r="B7" s="24"/>
      <c r="C7" s="4"/>
      <c r="D7" s="4"/>
      <c r="E7" s="4"/>
      <c r="F7" s="53"/>
      <c r="G7" s="11"/>
      <c r="H7" s="11"/>
      <c r="I7" s="11"/>
      <c r="J7" s="14"/>
      <c r="K7" s="13"/>
      <c r="L7" s="14"/>
      <c r="M7" s="13"/>
      <c r="N7" s="12"/>
      <c r="O7" s="10"/>
      <c r="P7" s="10"/>
      <c r="Q7" s="10"/>
      <c r="R7" s="10"/>
      <c r="S7" s="10"/>
      <c r="T7" s="10"/>
      <c r="U7" s="10"/>
      <c r="V7" s="10"/>
    </row>
    <row r="8" spans="1:22" ht="12.75">
      <c r="A8" s="10"/>
      <c r="B8" s="24" t="s">
        <v>40</v>
      </c>
      <c r="C8" s="4"/>
      <c r="D8" s="4"/>
      <c r="E8" s="35">
        <v>150</v>
      </c>
      <c r="F8" s="53" t="s">
        <v>21</v>
      </c>
      <c r="G8" s="11"/>
      <c r="H8" s="11"/>
      <c r="I8" s="11"/>
      <c r="J8" s="14"/>
      <c r="K8" s="13"/>
      <c r="L8" s="14"/>
      <c r="M8" s="13"/>
      <c r="N8" s="12"/>
      <c r="O8" s="10"/>
      <c r="P8" s="10"/>
      <c r="Q8" s="10"/>
      <c r="R8" s="10"/>
      <c r="S8" s="10"/>
      <c r="T8" s="10"/>
      <c r="U8" s="10"/>
      <c r="V8" s="10"/>
    </row>
    <row r="9" spans="1:22" ht="12.75">
      <c r="A9" s="10"/>
      <c r="B9" s="24"/>
      <c r="C9" s="4"/>
      <c r="D9" s="4"/>
      <c r="E9" s="4"/>
      <c r="F9" s="53"/>
      <c r="G9" s="11"/>
      <c r="H9" s="11"/>
      <c r="I9" s="11"/>
      <c r="J9" s="14"/>
      <c r="K9" s="13"/>
      <c r="L9" s="14"/>
      <c r="M9" s="13"/>
      <c r="N9" s="12"/>
      <c r="O9" s="10"/>
      <c r="P9" s="10"/>
      <c r="Q9" s="10"/>
      <c r="R9" s="10"/>
      <c r="S9" s="10"/>
      <c r="T9" s="10"/>
      <c r="U9" s="10"/>
      <c r="V9" s="10"/>
    </row>
    <row r="10" spans="1:22" ht="12.75">
      <c r="A10" s="10"/>
      <c r="B10" s="24" t="s">
        <v>14</v>
      </c>
      <c r="C10" s="4"/>
      <c r="D10" s="4"/>
      <c r="E10" s="1">
        <f>IF(E6=0,0,E6/(PI()*(0.5*E8*0.001)^2))</f>
        <v>2.263536968418067</v>
      </c>
      <c r="F10" s="53" t="s">
        <v>22</v>
      </c>
      <c r="G10" s="11"/>
      <c r="H10" s="11"/>
      <c r="I10" s="11"/>
      <c r="J10" s="14"/>
      <c r="K10" s="13"/>
      <c r="L10" s="14"/>
      <c r="M10" s="13"/>
      <c r="N10" s="12"/>
      <c r="O10" s="10"/>
      <c r="P10" s="10"/>
      <c r="Q10" s="10"/>
      <c r="R10" s="10"/>
      <c r="S10" s="10"/>
      <c r="T10" s="10"/>
      <c r="U10" s="10"/>
      <c r="V10" s="10"/>
    </row>
    <row r="11" spans="1:22" ht="12.75">
      <c r="A11" s="10"/>
      <c r="B11" s="24" t="s">
        <v>15</v>
      </c>
      <c r="C11" s="4"/>
      <c r="D11" s="4"/>
      <c r="E11" s="8">
        <f>0.5*Notes!$C$31*E10^2</f>
        <v>3.0741597644371517</v>
      </c>
      <c r="F11" s="53" t="s">
        <v>23</v>
      </c>
      <c r="G11" s="11"/>
      <c r="H11" s="11"/>
      <c r="I11" s="11"/>
      <c r="J11" s="14"/>
      <c r="K11" s="13"/>
      <c r="L11" s="14"/>
      <c r="M11" s="13"/>
      <c r="N11" s="12"/>
      <c r="O11" s="10"/>
      <c r="P11" s="10"/>
      <c r="Q11" s="10"/>
      <c r="R11" s="10"/>
      <c r="S11" s="10"/>
      <c r="T11" s="10"/>
      <c r="U11" s="10"/>
      <c r="V11" s="10"/>
    </row>
    <row r="12" spans="1:22" ht="12.75">
      <c r="A12" s="10"/>
      <c r="B12" s="24" t="s">
        <v>16</v>
      </c>
      <c r="C12" s="4"/>
      <c r="D12" s="4"/>
      <c r="E12" s="6">
        <f>((E8*0.001)*E10)/Notes!$C$32</f>
        <v>18862.808070150557</v>
      </c>
      <c r="F12" s="53"/>
      <c r="G12" s="11"/>
      <c r="H12" s="11"/>
      <c r="I12" s="11"/>
      <c r="J12" s="14"/>
      <c r="K12" s="13"/>
      <c r="L12" s="14"/>
      <c r="M12" s="13"/>
      <c r="N12" s="12"/>
      <c r="O12" s="10"/>
      <c r="P12" s="10"/>
      <c r="Q12" s="10"/>
      <c r="R12" s="10"/>
      <c r="S12" s="10"/>
      <c r="T12" s="10"/>
      <c r="U12" s="10"/>
      <c r="V12" s="10"/>
    </row>
    <row r="13" spans="1:22" ht="12.75">
      <c r="A13" s="10"/>
      <c r="B13" s="24" t="s">
        <v>17</v>
      </c>
      <c r="C13" s="4"/>
      <c r="D13" s="4"/>
      <c r="E13" s="4">
        <v>0.15</v>
      </c>
      <c r="F13" s="53" t="s">
        <v>21</v>
      </c>
      <c r="G13" s="11"/>
      <c r="H13" s="11"/>
      <c r="I13" s="11"/>
      <c r="J13" s="14"/>
      <c r="K13" s="13"/>
      <c r="L13" s="14"/>
      <c r="M13" s="13"/>
      <c r="N13" s="12"/>
      <c r="O13" s="10"/>
      <c r="P13" s="10"/>
      <c r="Q13" s="10"/>
      <c r="R13" s="10"/>
      <c r="S13" s="10"/>
      <c r="T13" s="10"/>
      <c r="U13" s="10"/>
      <c r="V13" s="10"/>
    </row>
    <row r="14" spans="1:22" ht="12.75">
      <c r="A14" s="10"/>
      <c r="B14" s="24" t="s">
        <v>26</v>
      </c>
      <c r="C14" s="4"/>
      <c r="D14" s="4"/>
      <c r="E14" s="7">
        <f>IF(E8=0,0,0.11*((E13/E8)+(68/E12))^0.25)</f>
        <v>0.028654944058862944</v>
      </c>
      <c r="F14" s="53"/>
      <c r="G14" s="11"/>
      <c r="H14" s="11"/>
      <c r="I14" s="11"/>
      <c r="J14" s="14"/>
      <c r="K14" s="14"/>
      <c r="L14" s="14"/>
      <c r="M14" s="14"/>
      <c r="N14" s="12"/>
      <c r="O14" s="10"/>
      <c r="P14" s="10"/>
      <c r="Q14" s="10"/>
      <c r="R14" s="10"/>
      <c r="S14" s="10"/>
      <c r="T14" s="10"/>
      <c r="U14" s="10"/>
      <c r="V14" s="10"/>
    </row>
    <row r="15" spans="1:22" ht="12.75">
      <c r="A15" s="10"/>
      <c r="B15" s="24" t="s">
        <v>18</v>
      </c>
      <c r="C15" s="4"/>
      <c r="D15" s="4"/>
      <c r="E15" s="7">
        <f>IF(E14&gt;0.018,E14,(0.85*E14)+0.0028)</f>
        <v>0.028654944058862944</v>
      </c>
      <c r="F15" s="53"/>
      <c r="G15" s="11"/>
      <c r="H15" s="11"/>
      <c r="I15" s="11"/>
      <c r="J15" s="230"/>
      <c r="K15" s="230"/>
      <c r="L15" s="10"/>
      <c r="M15" s="10"/>
      <c r="N15" s="12"/>
      <c r="O15" s="10"/>
      <c r="P15" s="10"/>
      <c r="Q15" s="10"/>
      <c r="R15" s="10"/>
      <c r="S15" s="10"/>
      <c r="T15" s="10"/>
      <c r="U15" s="10"/>
      <c r="V15" s="10"/>
    </row>
    <row r="16" spans="1:22" ht="12.75">
      <c r="A16" s="10"/>
      <c r="B16" s="24" t="s">
        <v>19</v>
      </c>
      <c r="C16" s="4"/>
      <c r="D16" s="4"/>
      <c r="E16" s="1">
        <f>IF(E8=0,0,(E15/(0.001*E8))*E11)</f>
        <v>0.5872658405196924</v>
      </c>
      <c r="F16" s="53" t="s">
        <v>23</v>
      </c>
      <c r="G16" s="11"/>
      <c r="H16" s="11"/>
      <c r="I16" s="11"/>
      <c r="J16" s="13"/>
      <c r="K16" s="13"/>
      <c r="L16" s="13"/>
      <c r="M16" s="13"/>
      <c r="N16" s="12"/>
      <c r="O16" s="10"/>
      <c r="P16" s="10"/>
      <c r="Q16" s="10"/>
      <c r="R16" s="10"/>
      <c r="S16" s="10"/>
      <c r="T16" s="10"/>
      <c r="U16" s="10"/>
      <c r="V16" s="10"/>
    </row>
    <row r="17" spans="1:22" ht="12.75">
      <c r="A17" s="10"/>
      <c r="B17" s="24"/>
      <c r="C17" s="4"/>
      <c r="D17" s="4"/>
      <c r="E17" s="4"/>
      <c r="F17" s="53"/>
      <c r="G17" s="11"/>
      <c r="H17" s="11"/>
      <c r="I17" s="11"/>
      <c r="J17" s="13"/>
      <c r="K17" s="13"/>
      <c r="L17" s="13"/>
      <c r="M17" s="13"/>
      <c r="N17" s="12"/>
      <c r="O17" s="10"/>
      <c r="P17" s="10"/>
      <c r="Q17" s="10"/>
      <c r="R17" s="10"/>
      <c r="S17" s="10"/>
      <c r="T17" s="10"/>
      <c r="U17" s="10"/>
      <c r="V17" s="10"/>
    </row>
    <row r="18" spans="1:22" ht="12.75">
      <c r="A18" s="10"/>
      <c r="B18" s="24" t="s">
        <v>24</v>
      </c>
      <c r="C18" s="4"/>
      <c r="D18" s="4"/>
      <c r="E18" s="29">
        <v>0.3</v>
      </c>
      <c r="F18" s="53"/>
      <c r="G18" s="11"/>
      <c r="H18" s="11"/>
      <c r="I18" s="11"/>
      <c r="J18" s="14"/>
      <c r="K18" s="16"/>
      <c r="L18" s="14"/>
      <c r="M18" s="16"/>
      <c r="N18" s="12"/>
      <c r="O18" s="10"/>
      <c r="P18" s="10"/>
      <c r="Q18" s="10"/>
      <c r="R18" s="10"/>
      <c r="S18" s="10"/>
      <c r="T18" s="10"/>
      <c r="U18" s="10"/>
      <c r="V18" s="10"/>
    </row>
    <row r="19" spans="1:22" ht="12.75">
      <c r="A19" s="10"/>
      <c r="B19" s="24"/>
      <c r="C19" s="4"/>
      <c r="D19" s="4"/>
      <c r="E19" s="4"/>
      <c r="F19" s="53"/>
      <c r="G19" s="11"/>
      <c r="H19" s="11"/>
      <c r="I19" s="11"/>
      <c r="J19" s="14"/>
      <c r="K19" s="13"/>
      <c r="L19" s="14"/>
      <c r="M19" s="13"/>
      <c r="N19" s="11"/>
      <c r="O19" s="10"/>
      <c r="P19" s="10"/>
      <c r="Q19" s="10"/>
      <c r="R19" s="10"/>
      <c r="S19" s="10"/>
      <c r="T19" s="10"/>
      <c r="U19" s="10"/>
      <c r="V19" s="10"/>
    </row>
    <row r="20" spans="1:22" ht="12.75">
      <c r="A20" s="10"/>
      <c r="B20" s="24" t="s">
        <v>25</v>
      </c>
      <c r="C20" s="4"/>
      <c r="D20" s="4"/>
      <c r="E20" s="1">
        <f>E18*E11</f>
        <v>0.9222479293311454</v>
      </c>
      <c r="F20" s="53" t="s">
        <v>23</v>
      </c>
      <c r="G20" s="11"/>
      <c r="H20" s="11"/>
      <c r="I20" s="11"/>
      <c r="J20" s="14"/>
      <c r="K20" s="17"/>
      <c r="L20" s="14"/>
      <c r="M20" s="17"/>
      <c r="N20" s="11"/>
      <c r="O20" s="10"/>
      <c r="P20" s="10"/>
      <c r="Q20" s="10"/>
      <c r="R20" s="10"/>
      <c r="S20" s="10"/>
      <c r="T20" s="10"/>
      <c r="U20" s="10"/>
      <c r="V20" s="10"/>
    </row>
    <row r="21" spans="1:22" ht="13.5" thickBot="1">
      <c r="A21" s="10"/>
      <c r="B21" s="26"/>
      <c r="C21" s="27"/>
      <c r="D21" s="27"/>
      <c r="E21" s="27"/>
      <c r="F21" s="28"/>
      <c r="G21" s="11"/>
      <c r="H21" s="11"/>
      <c r="I21" s="11"/>
      <c r="J21" s="14"/>
      <c r="K21" s="17"/>
      <c r="L21" s="11"/>
      <c r="M21" s="11"/>
      <c r="N21" s="11"/>
      <c r="O21" s="10"/>
      <c r="P21" s="10"/>
      <c r="Q21" s="10"/>
      <c r="R21" s="10"/>
      <c r="S21" s="10"/>
      <c r="T21" s="10"/>
      <c r="U21" s="10"/>
      <c r="V21" s="10"/>
    </row>
    <row r="22" spans="1:22" ht="12.7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0"/>
      <c r="P22" s="10"/>
      <c r="Q22" s="10"/>
      <c r="R22" s="10"/>
      <c r="S22" s="10"/>
      <c r="T22" s="10"/>
      <c r="U22" s="10"/>
      <c r="V22" s="10"/>
    </row>
    <row r="23" spans="1:22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ht="12.75">
      <c r="A27" s="10"/>
      <c r="B27" s="10"/>
      <c r="C27" s="10"/>
      <c r="D27" s="10"/>
      <c r="E27" s="10"/>
      <c r="F27" s="13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12.75">
      <c r="A28" s="10"/>
      <c r="B28" s="10"/>
      <c r="C28" s="10"/>
      <c r="D28" s="10"/>
      <c r="E28" s="10"/>
      <c r="F28" s="15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ht="12.75">
      <c r="A29" s="10"/>
      <c r="B29" s="10"/>
      <c r="C29" s="10"/>
      <c r="D29" s="10"/>
      <c r="E29" s="10"/>
      <c r="F29" s="14"/>
      <c r="G29" s="15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ht="12.75">
      <c r="A30" s="10"/>
      <c r="B30" s="10"/>
      <c r="C30" s="10"/>
      <c r="D30" s="10"/>
      <c r="E30" s="10"/>
      <c r="F30" s="14"/>
      <c r="G30" s="13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ht="12.75">
      <c r="A31" s="10"/>
      <c r="B31" s="10"/>
      <c r="C31" s="10"/>
      <c r="D31" s="10"/>
      <c r="E31" s="10"/>
      <c r="F31" s="14"/>
      <c r="G31" s="13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12.75">
      <c r="A32" s="10"/>
      <c r="B32" s="10"/>
      <c r="C32" s="10"/>
      <c r="D32" s="10"/>
      <c r="E32" s="10"/>
      <c r="F32" s="14"/>
      <c r="G32" s="13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ht="12.75">
      <c r="A33" s="10"/>
      <c r="B33" s="10"/>
      <c r="C33" s="10"/>
      <c r="D33" s="10"/>
      <c r="E33" s="10"/>
      <c r="F33" s="14"/>
      <c r="G33" s="13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ht="12.75">
      <c r="A34" s="10"/>
      <c r="B34" s="10"/>
      <c r="C34" s="10"/>
      <c r="D34" s="10"/>
      <c r="E34" s="10"/>
      <c r="F34" s="14"/>
      <c r="G34" s="13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ht="12.75">
      <c r="A35" s="10"/>
      <c r="B35" s="10"/>
      <c r="C35" s="10"/>
      <c r="D35" s="10"/>
      <c r="E35" s="10"/>
      <c r="F35" s="14"/>
      <c r="G35" s="13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ht="12.75">
      <c r="A36" s="10"/>
      <c r="B36" s="10"/>
      <c r="C36" s="10"/>
      <c r="D36" s="10"/>
      <c r="E36" s="10"/>
      <c r="F36" s="14"/>
      <c r="G36" s="13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ht="12.75">
      <c r="A37" s="10"/>
      <c r="B37" s="10"/>
      <c r="C37" s="10"/>
      <c r="D37" s="10"/>
      <c r="E37" s="10"/>
      <c r="F37" s="13"/>
      <c r="G37" s="14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ht="12.75">
      <c r="A38" s="10"/>
      <c r="B38" s="10"/>
      <c r="C38" s="10"/>
      <c r="D38" s="10"/>
      <c r="E38" s="10"/>
      <c r="F38" s="13"/>
      <c r="G38" s="13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ht="12.75">
      <c r="A39" s="10"/>
      <c r="B39" s="10"/>
      <c r="C39" s="10"/>
      <c r="D39" s="10"/>
      <c r="E39" s="10"/>
      <c r="F39" s="13"/>
      <c r="G39" s="13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ht="12.75">
      <c r="A40" s="10"/>
      <c r="B40" s="10"/>
      <c r="C40" s="10"/>
      <c r="D40" s="10"/>
      <c r="E40" s="10"/>
      <c r="F40" s="14"/>
      <c r="G40" s="13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ht="12.75">
      <c r="A41" s="10"/>
      <c r="B41" s="10"/>
      <c r="C41" s="10"/>
      <c r="D41" s="10"/>
      <c r="E41" s="10"/>
      <c r="F41" s="14"/>
      <c r="G41" s="16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ht="12.75">
      <c r="A42" s="10"/>
      <c r="B42" s="10"/>
      <c r="C42" s="10"/>
      <c r="D42" s="10"/>
      <c r="E42" s="10"/>
      <c r="F42" s="14"/>
      <c r="G42" s="13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ht="12.75">
      <c r="A43" s="10"/>
      <c r="B43" s="10"/>
      <c r="C43" s="10"/>
      <c r="D43" s="10"/>
      <c r="E43" s="10"/>
      <c r="F43" s="10"/>
      <c r="G43" s="17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12.75">
      <c r="A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12.75">
      <c r="A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</sheetData>
  <sheetProtection/>
  <mergeCells count="2">
    <mergeCell ref="J5:K5"/>
    <mergeCell ref="J15:K1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3"/>
  <sheetViews>
    <sheetView zoomScalePageLayoutView="0" workbookViewId="0" topLeftCell="A1">
      <selection activeCell="H18" sqref="H18"/>
    </sheetView>
  </sheetViews>
  <sheetFormatPr defaultColWidth="9.140625" defaultRowHeight="12.75"/>
  <cols>
    <col min="9" max="9" width="27.00390625" style="0" customWidth="1"/>
    <col min="10" max="10" width="7.28125" style="0" hidden="1" customWidth="1"/>
    <col min="11" max="11" width="0.13671875" style="0" hidden="1" customWidth="1"/>
  </cols>
  <sheetData>
    <row r="1" spans="1:22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3.5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ht="12.75">
      <c r="A3" s="10"/>
      <c r="B3" s="18"/>
      <c r="C3" s="19"/>
      <c r="D3" s="19"/>
      <c r="E3" s="19"/>
      <c r="F3" s="20"/>
      <c r="G3" s="11"/>
      <c r="H3" s="11"/>
      <c r="I3" s="18"/>
      <c r="J3" s="19"/>
      <c r="K3" s="19"/>
      <c r="L3" s="19"/>
      <c r="M3" s="20"/>
      <c r="N3" s="11"/>
      <c r="O3" s="10"/>
      <c r="P3" s="10"/>
      <c r="Q3" s="10"/>
      <c r="R3" s="10"/>
      <c r="S3" s="10"/>
      <c r="T3" s="10"/>
      <c r="U3" s="10"/>
      <c r="V3" s="10"/>
    </row>
    <row r="4" spans="1:22" ht="19.5">
      <c r="A4" s="10"/>
      <c r="B4" s="22" t="s">
        <v>28</v>
      </c>
      <c r="C4" s="3"/>
      <c r="D4" s="4"/>
      <c r="E4" s="4"/>
      <c r="F4" s="23"/>
      <c r="G4" s="11"/>
      <c r="H4" s="11"/>
      <c r="I4" s="22" t="s">
        <v>28</v>
      </c>
      <c r="J4" s="3"/>
      <c r="K4" s="4"/>
      <c r="L4" s="4"/>
      <c r="M4" s="23"/>
      <c r="N4" s="12"/>
      <c r="O4" s="10"/>
      <c r="P4" s="10"/>
      <c r="Q4" s="10"/>
      <c r="R4" s="10"/>
      <c r="S4" s="10"/>
      <c r="T4" s="10"/>
      <c r="U4" s="10"/>
      <c r="V4" s="10"/>
    </row>
    <row r="5" spans="1:22" ht="12.75">
      <c r="A5" s="10"/>
      <c r="B5" s="24"/>
      <c r="C5" s="4"/>
      <c r="D5" s="4"/>
      <c r="E5" s="4"/>
      <c r="F5" s="23"/>
      <c r="G5" s="11"/>
      <c r="H5" s="11"/>
      <c r="I5" s="24"/>
      <c r="J5" s="4"/>
      <c r="K5" s="4"/>
      <c r="L5" s="4"/>
      <c r="M5" s="23"/>
      <c r="N5" s="12"/>
      <c r="O5" s="10"/>
      <c r="P5" s="10"/>
      <c r="Q5" s="10"/>
      <c r="R5" s="10"/>
      <c r="S5" s="10"/>
      <c r="T5" s="10"/>
      <c r="U5" s="10"/>
      <c r="V5" s="10"/>
    </row>
    <row r="6" spans="1:22" ht="12.75" customHeight="1">
      <c r="A6" s="10"/>
      <c r="B6" s="24" t="s">
        <v>42</v>
      </c>
      <c r="C6" s="4"/>
      <c r="D6" s="4"/>
      <c r="E6" s="29">
        <v>1</v>
      </c>
      <c r="F6" s="53" t="s">
        <v>41</v>
      </c>
      <c r="G6" s="11"/>
      <c r="H6" s="11"/>
      <c r="I6" s="24" t="s">
        <v>42</v>
      </c>
      <c r="J6" s="4"/>
      <c r="K6" s="4"/>
      <c r="L6" s="29">
        <v>0.5</v>
      </c>
      <c r="M6" s="53" t="s">
        <v>41</v>
      </c>
      <c r="N6" s="12"/>
      <c r="O6" s="10"/>
      <c r="P6" s="10"/>
      <c r="Q6" s="10"/>
      <c r="R6" s="10"/>
      <c r="S6" s="10"/>
      <c r="T6" s="10"/>
      <c r="U6" s="10"/>
      <c r="V6" s="10"/>
    </row>
    <row r="7" spans="1:22" ht="12.75">
      <c r="A7" s="10"/>
      <c r="B7" s="24" t="s">
        <v>38</v>
      </c>
      <c r="C7" s="4"/>
      <c r="D7" s="4"/>
      <c r="E7" s="29">
        <v>600</v>
      </c>
      <c r="F7" s="53" t="s">
        <v>21</v>
      </c>
      <c r="G7" s="11"/>
      <c r="H7" s="11"/>
      <c r="I7" s="24" t="s">
        <v>38</v>
      </c>
      <c r="J7" s="4"/>
      <c r="K7" s="4"/>
      <c r="L7" s="29">
        <v>350</v>
      </c>
      <c r="M7" s="53" t="s">
        <v>21</v>
      </c>
      <c r="N7" s="12"/>
      <c r="O7" s="10"/>
      <c r="P7" s="10"/>
      <c r="Q7" s="10"/>
      <c r="R7" s="10"/>
      <c r="S7" s="10"/>
      <c r="T7" s="10"/>
      <c r="U7" s="10"/>
      <c r="V7" s="10"/>
    </row>
    <row r="8" spans="1:22" ht="12.75">
      <c r="A8" s="10"/>
      <c r="B8" s="24" t="s">
        <v>39</v>
      </c>
      <c r="C8" s="4"/>
      <c r="D8" s="4"/>
      <c r="E8" s="29">
        <v>300</v>
      </c>
      <c r="F8" s="53" t="s">
        <v>21</v>
      </c>
      <c r="G8" s="11"/>
      <c r="H8" s="11"/>
      <c r="I8" s="24" t="s">
        <v>39</v>
      </c>
      <c r="J8" s="4"/>
      <c r="K8" s="4"/>
      <c r="L8" s="29">
        <v>300</v>
      </c>
      <c r="M8" s="53" t="s">
        <v>21</v>
      </c>
      <c r="N8" s="12"/>
      <c r="O8" s="10"/>
      <c r="P8" s="10"/>
      <c r="Q8" s="10"/>
      <c r="R8" s="10"/>
      <c r="S8" s="10"/>
      <c r="T8" s="10"/>
      <c r="U8" s="10"/>
      <c r="V8" s="10"/>
    </row>
    <row r="9" spans="1:22" ht="12.75">
      <c r="A9" s="10"/>
      <c r="B9" s="24"/>
      <c r="C9" s="4"/>
      <c r="D9" s="4"/>
      <c r="E9" s="4"/>
      <c r="F9" s="53"/>
      <c r="G9" s="11"/>
      <c r="H9" s="11"/>
      <c r="I9" s="24"/>
      <c r="J9" s="4"/>
      <c r="K9" s="4"/>
      <c r="L9" s="4"/>
      <c r="M9" s="53"/>
      <c r="N9" s="12"/>
      <c r="O9" s="10"/>
      <c r="P9" s="10"/>
      <c r="Q9" s="10"/>
      <c r="R9" s="10"/>
      <c r="S9" s="10"/>
      <c r="T9" s="10"/>
      <c r="U9" s="10"/>
      <c r="V9" s="10"/>
    </row>
    <row r="10" spans="1:22" ht="12.75">
      <c r="A10" s="10"/>
      <c r="B10" s="24" t="s">
        <v>40</v>
      </c>
      <c r="C10" s="4"/>
      <c r="D10" s="4"/>
      <c r="E10" s="2">
        <f>1.265*(((E7*E8)^3)/(E8+E7))^0.2</f>
        <v>461.7485354969432</v>
      </c>
      <c r="F10" s="53" t="s">
        <v>21</v>
      </c>
      <c r="G10" s="11"/>
      <c r="H10" s="11"/>
      <c r="I10" s="24" t="s">
        <v>40</v>
      </c>
      <c r="J10" s="4"/>
      <c r="K10" s="4"/>
      <c r="L10" s="2">
        <f>1.265*(((L7*L8)^3)/(L8+L7))^0.2</f>
        <v>356.63292342238697</v>
      </c>
      <c r="M10" s="53" t="s">
        <v>21</v>
      </c>
      <c r="N10" s="12"/>
      <c r="O10" s="10"/>
      <c r="P10" s="10"/>
      <c r="Q10" s="10"/>
      <c r="R10" s="10"/>
      <c r="S10" s="10"/>
      <c r="T10" s="10"/>
      <c r="U10" s="10"/>
      <c r="V10" s="10"/>
    </row>
    <row r="11" spans="1:22" ht="12.75">
      <c r="A11" s="10"/>
      <c r="B11" s="24"/>
      <c r="C11" s="4"/>
      <c r="D11" s="4"/>
      <c r="E11" s="4"/>
      <c r="F11" s="53"/>
      <c r="G11" s="11"/>
      <c r="H11" s="11"/>
      <c r="I11" s="24"/>
      <c r="J11" s="4"/>
      <c r="K11" s="4"/>
      <c r="L11" s="4"/>
      <c r="M11" s="53"/>
      <c r="N11" s="12"/>
      <c r="O11" s="10"/>
      <c r="P11" s="10"/>
      <c r="Q11" s="10"/>
      <c r="R11" s="10"/>
      <c r="S11" s="10"/>
      <c r="T11" s="10"/>
      <c r="U11" s="10"/>
      <c r="V11" s="10"/>
    </row>
    <row r="12" spans="1:22" ht="12.75">
      <c r="A12" s="10"/>
      <c r="B12" s="24" t="s">
        <v>14</v>
      </c>
      <c r="C12" s="4"/>
      <c r="D12" s="4"/>
      <c r="E12" s="1">
        <f>IF(E6=0,0,E6/(PI()*(0.5*E10*0.001)^2))</f>
        <v>5.971714895653158</v>
      </c>
      <c r="F12" s="53" t="s">
        <v>22</v>
      </c>
      <c r="G12" s="11"/>
      <c r="H12" s="11"/>
      <c r="I12" s="24" t="s">
        <v>14</v>
      </c>
      <c r="J12" s="4"/>
      <c r="K12" s="4"/>
      <c r="L12" s="1">
        <f>IF(L6=0,0,L6/(PI()*(0.5*L10*0.001)^2))</f>
        <v>5.0053823252153355</v>
      </c>
      <c r="M12" s="53" t="s">
        <v>22</v>
      </c>
      <c r="N12" s="12"/>
      <c r="O12" s="10"/>
      <c r="P12" s="10"/>
      <c r="Q12" s="10"/>
      <c r="R12" s="10"/>
      <c r="S12" s="10"/>
      <c r="T12" s="10"/>
      <c r="U12" s="10"/>
      <c r="V12" s="10"/>
    </row>
    <row r="13" spans="1:22" ht="12.75">
      <c r="A13" s="10"/>
      <c r="B13" s="24" t="s">
        <v>15</v>
      </c>
      <c r="C13" s="4"/>
      <c r="D13" s="4"/>
      <c r="E13" s="8">
        <f>0.5*Notes!$C$31*E12^2</f>
        <v>21.396827276979486</v>
      </c>
      <c r="F13" s="53" t="s">
        <v>23</v>
      </c>
      <c r="G13" s="11"/>
      <c r="H13" s="11"/>
      <c r="I13" s="24" t="s">
        <v>15</v>
      </c>
      <c r="J13" s="4"/>
      <c r="K13" s="4"/>
      <c r="L13" s="8">
        <f>0.5*Notes!$C$31*L12^2</f>
        <v>15.032311332946847</v>
      </c>
      <c r="M13" s="53" t="s">
        <v>23</v>
      </c>
      <c r="N13" s="12"/>
      <c r="O13" s="10"/>
      <c r="P13" s="10"/>
      <c r="Q13" s="10"/>
      <c r="R13" s="10"/>
      <c r="S13" s="10"/>
      <c r="T13" s="10"/>
      <c r="U13" s="10"/>
      <c r="V13" s="10"/>
    </row>
    <row r="14" spans="1:22" ht="12.75">
      <c r="A14" s="10"/>
      <c r="B14" s="24" t="s">
        <v>16</v>
      </c>
      <c r="C14" s="4"/>
      <c r="D14" s="4"/>
      <c r="E14" s="6">
        <f>((E10*0.001)*E12)/Notes!$C$32</f>
        <v>153190.5893040626</v>
      </c>
      <c r="F14" s="53"/>
      <c r="G14" s="11"/>
      <c r="H14" s="11"/>
      <c r="I14" s="24" t="s">
        <v>16</v>
      </c>
      <c r="J14" s="4"/>
      <c r="K14" s="4"/>
      <c r="L14" s="6">
        <f>((L10*0.001)*L12)/Notes!$C$32</f>
        <v>99171.34063823833</v>
      </c>
      <c r="M14" s="53"/>
      <c r="N14" s="12"/>
      <c r="O14" s="10"/>
      <c r="P14" s="10"/>
      <c r="Q14" s="10"/>
      <c r="R14" s="10"/>
      <c r="S14" s="10"/>
      <c r="T14" s="10"/>
      <c r="U14" s="10"/>
      <c r="V14" s="10"/>
    </row>
    <row r="15" spans="1:22" ht="12.75">
      <c r="A15" s="10"/>
      <c r="B15" s="24" t="s">
        <v>17</v>
      </c>
      <c r="C15" s="4"/>
      <c r="D15" s="4"/>
      <c r="E15" s="4">
        <v>0.15</v>
      </c>
      <c r="F15" s="53" t="s">
        <v>21</v>
      </c>
      <c r="G15" s="11"/>
      <c r="H15" s="11"/>
      <c r="I15" s="24" t="s">
        <v>17</v>
      </c>
      <c r="J15" s="4"/>
      <c r="K15" s="4"/>
      <c r="L15" s="4">
        <v>0.15</v>
      </c>
      <c r="M15" s="53" t="s">
        <v>21</v>
      </c>
      <c r="N15" s="12"/>
      <c r="O15" s="10"/>
      <c r="P15" s="10"/>
      <c r="Q15" s="10"/>
      <c r="R15" s="10"/>
      <c r="S15" s="10"/>
      <c r="T15" s="10"/>
      <c r="U15" s="10"/>
      <c r="V15" s="10"/>
    </row>
    <row r="16" spans="1:22" ht="12.75">
      <c r="A16" s="10"/>
      <c r="B16" s="24" t="s">
        <v>26</v>
      </c>
      <c r="C16" s="4"/>
      <c r="D16" s="4"/>
      <c r="E16" s="7">
        <f>IF(E10=0,0,0.11*((E15/E10)+(68/E14))^0.25)</f>
        <v>0.01831631351866461</v>
      </c>
      <c r="F16" s="53"/>
      <c r="G16" s="11"/>
      <c r="H16" s="11"/>
      <c r="I16" s="24" t="s">
        <v>26</v>
      </c>
      <c r="J16" s="4"/>
      <c r="K16" s="4"/>
      <c r="L16" s="7">
        <f>IF(L10=0,0,0.11*((L15/L10)+(68/L14))^0.25)</f>
        <v>0.020061305728435373</v>
      </c>
      <c r="M16" s="53"/>
      <c r="N16" s="12"/>
      <c r="O16" s="10"/>
      <c r="P16" s="10"/>
      <c r="Q16" s="10"/>
      <c r="R16" s="10"/>
      <c r="S16" s="10"/>
      <c r="T16" s="10"/>
      <c r="U16" s="10"/>
      <c r="V16" s="10"/>
    </row>
    <row r="17" spans="1:22" ht="12.75">
      <c r="A17" s="10"/>
      <c r="B17" s="24" t="s">
        <v>18</v>
      </c>
      <c r="C17" s="4"/>
      <c r="D17" s="4"/>
      <c r="E17" s="7">
        <f>IF(E16&gt;0.018,E16,(0.85*E16)+0.0028)</f>
        <v>0.01831631351866461</v>
      </c>
      <c r="F17" s="53"/>
      <c r="G17" s="11"/>
      <c r="H17" s="11"/>
      <c r="I17" s="24" t="s">
        <v>18</v>
      </c>
      <c r="J17" s="4"/>
      <c r="K17" s="4"/>
      <c r="L17" s="7">
        <f>IF(L16&gt;0.018,L16,(0.85*L16)+0.0028)</f>
        <v>0.020061305728435373</v>
      </c>
      <c r="M17" s="53"/>
      <c r="N17" s="12"/>
      <c r="O17" s="10"/>
      <c r="P17" s="10"/>
      <c r="Q17" s="10"/>
      <c r="R17" s="10"/>
      <c r="S17" s="10"/>
      <c r="T17" s="10"/>
      <c r="U17" s="10"/>
      <c r="V17" s="10"/>
    </row>
    <row r="18" spans="1:22" ht="12.75">
      <c r="A18" s="10"/>
      <c r="B18" s="24" t="s">
        <v>44</v>
      </c>
      <c r="C18" s="4"/>
      <c r="D18" s="4"/>
      <c r="E18" s="1">
        <f>IF(E10=0,0,(E17/(0.001*E10))*E13)</f>
        <v>0.8487541737151117</v>
      </c>
      <c r="F18" s="53" t="s">
        <v>47</v>
      </c>
      <c r="G18" s="11"/>
      <c r="H18" s="11"/>
      <c r="I18" s="24" t="s">
        <v>44</v>
      </c>
      <c r="J18" s="4"/>
      <c r="K18" s="4"/>
      <c r="L18" s="1">
        <f>IF(L10=0,0,(L17/(0.001*L10))*L13)</f>
        <v>0.8455971775160571</v>
      </c>
      <c r="M18" s="53" t="s">
        <v>47</v>
      </c>
      <c r="N18" s="12"/>
      <c r="O18" s="10"/>
      <c r="P18" s="10"/>
      <c r="Q18" s="10"/>
      <c r="R18" s="10"/>
      <c r="S18" s="10"/>
      <c r="T18" s="10"/>
      <c r="U18" s="10"/>
      <c r="V18" s="10"/>
    </row>
    <row r="19" spans="1:22" ht="12.75">
      <c r="A19" s="10"/>
      <c r="B19" s="24"/>
      <c r="C19" s="4"/>
      <c r="D19" s="4"/>
      <c r="E19" s="4"/>
      <c r="F19" s="53"/>
      <c r="G19" s="11"/>
      <c r="H19" s="11"/>
      <c r="I19" s="24"/>
      <c r="J19" s="4"/>
      <c r="K19" s="4"/>
      <c r="L19" s="4"/>
      <c r="M19" s="53"/>
      <c r="N19" s="11"/>
      <c r="O19" s="10"/>
      <c r="P19" s="10"/>
      <c r="Q19" s="10"/>
      <c r="R19" s="10"/>
      <c r="S19" s="10"/>
      <c r="T19" s="10"/>
      <c r="U19" s="10"/>
      <c r="V19" s="10"/>
    </row>
    <row r="20" spans="1:22" ht="12.75">
      <c r="A20" s="10"/>
      <c r="B20" s="24" t="s">
        <v>24</v>
      </c>
      <c r="C20" s="4"/>
      <c r="D20" s="4"/>
      <c r="E20" s="29">
        <v>0.3</v>
      </c>
      <c r="F20" s="53"/>
      <c r="G20" s="11"/>
      <c r="H20" s="11"/>
      <c r="I20" s="24" t="s">
        <v>24</v>
      </c>
      <c r="J20" s="4"/>
      <c r="K20" s="4"/>
      <c r="L20" s="29">
        <v>0.3</v>
      </c>
      <c r="M20" s="53"/>
      <c r="N20" s="11"/>
      <c r="O20" s="10"/>
      <c r="P20" s="10"/>
      <c r="Q20" s="10"/>
      <c r="R20" s="10"/>
      <c r="S20" s="10"/>
      <c r="T20" s="10"/>
      <c r="U20" s="10"/>
      <c r="V20" s="10"/>
    </row>
    <row r="21" spans="1:22" ht="12.75">
      <c r="A21" s="10"/>
      <c r="B21" s="24"/>
      <c r="C21" s="4"/>
      <c r="D21" s="4"/>
      <c r="E21" s="4"/>
      <c r="F21" s="53"/>
      <c r="G21" s="11"/>
      <c r="H21" s="11"/>
      <c r="I21" s="24"/>
      <c r="J21" s="4"/>
      <c r="K21" s="4"/>
      <c r="L21" s="4"/>
      <c r="M21" s="53"/>
      <c r="N21" s="11"/>
      <c r="O21" s="10"/>
      <c r="P21" s="10"/>
      <c r="Q21" s="10"/>
      <c r="R21" s="10"/>
      <c r="S21" s="10"/>
      <c r="T21" s="10"/>
      <c r="U21" s="10"/>
      <c r="V21" s="10"/>
    </row>
    <row r="22" spans="1:22" ht="12.75">
      <c r="A22" s="10"/>
      <c r="B22" s="24" t="s">
        <v>25</v>
      </c>
      <c r="C22" s="4"/>
      <c r="D22" s="4"/>
      <c r="E22" s="1">
        <f>E20*E13</f>
        <v>6.419048183093846</v>
      </c>
      <c r="F22" s="53" t="s">
        <v>23</v>
      </c>
      <c r="G22" s="11"/>
      <c r="H22" s="11"/>
      <c r="I22" s="24" t="s">
        <v>25</v>
      </c>
      <c r="J22" s="4"/>
      <c r="K22" s="4"/>
      <c r="L22" s="1">
        <f>L20*L13</f>
        <v>4.509693399884054</v>
      </c>
      <c r="M22" s="53" t="s">
        <v>23</v>
      </c>
      <c r="N22" s="11"/>
      <c r="O22" s="10"/>
      <c r="P22" s="10"/>
      <c r="Q22" s="10"/>
      <c r="R22" s="10"/>
      <c r="S22" s="10"/>
      <c r="T22" s="10"/>
      <c r="U22" s="10"/>
      <c r="V22" s="10"/>
    </row>
    <row r="23" spans="1:22" ht="13.5" thickBot="1">
      <c r="A23" s="10"/>
      <c r="B23" s="26"/>
      <c r="C23" s="27"/>
      <c r="D23" s="27"/>
      <c r="E23" s="27"/>
      <c r="F23" s="28"/>
      <c r="G23" s="10"/>
      <c r="H23" s="10"/>
      <c r="I23" s="26"/>
      <c r="J23" s="27"/>
      <c r="K23" s="27"/>
      <c r="L23" s="27"/>
      <c r="M23" s="28"/>
      <c r="N23" s="10"/>
      <c r="O23" s="10"/>
      <c r="P23" s="10"/>
      <c r="Q23" s="10"/>
      <c r="R23" s="10"/>
      <c r="S23" s="10"/>
      <c r="T23" s="10"/>
      <c r="U23" s="10"/>
      <c r="V23" s="10"/>
    </row>
    <row r="24" spans="1:22" ht="12.75">
      <c r="A24" s="10"/>
      <c r="B24" s="11"/>
      <c r="C24" s="11"/>
      <c r="D24" s="11"/>
      <c r="E24" s="11"/>
      <c r="F24" s="11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ht="12.75">
      <c r="A29" s="10"/>
      <c r="B29" s="10"/>
      <c r="C29" s="10"/>
      <c r="D29" s="10"/>
      <c r="E29" s="10"/>
      <c r="F29" s="13"/>
      <c r="G29" s="15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ht="12.75">
      <c r="A30" s="10"/>
      <c r="B30" s="10"/>
      <c r="C30" s="10"/>
      <c r="D30" s="10"/>
      <c r="E30" s="10"/>
      <c r="F30" s="15"/>
      <c r="G30" s="13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ht="12.75">
      <c r="A31" s="10"/>
      <c r="B31" s="10"/>
      <c r="C31" s="10"/>
      <c r="D31" s="10"/>
      <c r="E31" s="10"/>
      <c r="F31" s="14"/>
      <c r="G31" s="13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12.75">
      <c r="A32" s="10"/>
      <c r="B32" s="10"/>
      <c r="C32" s="10"/>
      <c r="D32" s="10"/>
      <c r="E32" s="10"/>
      <c r="F32" s="14"/>
      <c r="G32" s="13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ht="12.75">
      <c r="A33" s="10"/>
      <c r="B33" s="10"/>
      <c r="C33" s="10"/>
      <c r="D33" s="10"/>
      <c r="E33" s="10"/>
      <c r="F33" s="14"/>
      <c r="G33" s="13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ht="12.75">
      <c r="A34" s="10"/>
      <c r="B34" s="10"/>
      <c r="C34" s="10"/>
      <c r="D34" s="10"/>
      <c r="E34" s="10"/>
      <c r="F34" s="14"/>
      <c r="G34" s="13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ht="12.75">
      <c r="A35" s="10"/>
      <c r="B35" s="10"/>
      <c r="C35" s="10"/>
      <c r="D35" s="10"/>
      <c r="E35" s="10"/>
      <c r="F35" s="14"/>
      <c r="G35" s="13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ht="12.75">
      <c r="A36" s="10"/>
      <c r="B36" s="10"/>
      <c r="C36" s="10"/>
      <c r="D36" s="10"/>
      <c r="E36" s="10"/>
      <c r="F36" s="14"/>
      <c r="G36" s="13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ht="12.75">
      <c r="A37" s="10"/>
      <c r="B37" s="10"/>
      <c r="C37" s="10"/>
      <c r="D37" s="10"/>
      <c r="E37" s="10"/>
      <c r="F37" s="14"/>
      <c r="G37" s="14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ht="12.75">
      <c r="A38" s="10"/>
      <c r="B38" s="10"/>
      <c r="C38" s="10"/>
      <c r="D38" s="10"/>
      <c r="E38" s="10"/>
      <c r="F38" s="14"/>
      <c r="G38" s="13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ht="12.75">
      <c r="A39" s="10"/>
      <c r="B39" s="10"/>
      <c r="C39" s="10"/>
      <c r="D39" s="10"/>
      <c r="E39" s="10"/>
      <c r="F39" s="13"/>
      <c r="G39" s="13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ht="12.75">
      <c r="A40" s="10"/>
      <c r="B40" s="10"/>
      <c r="C40" s="10"/>
      <c r="D40" s="10"/>
      <c r="E40" s="10"/>
      <c r="F40" s="13"/>
      <c r="G40" s="13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ht="12.75">
      <c r="A41" s="10"/>
      <c r="B41" s="10"/>
      <c r="C41" s="10"/>
      <c r="D41" s="10"/>
      <c r="E41" s="10"/>
      <c r="F41" s="13"/>
      <c r="G41" s="16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ht="12.75">
      <c r="A42" s="10"/>
      <c r="B42" s="10"/>
      <c r="C42" s="10"/>
      <c r="D42" s="10"/>
      <c r="E42" s="10"/>
      <c r="F42" s="14"/>
      <c r="G42" s="13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ht="12.75">
      <c r="A43" s="10"/>
      <c r="B43" s="10"/>
      <c r="C43" s="10"/>
      <c r="D43" s="10"/>
      <c r="E43" s="10"/>
      <c r="F43" s="14"/>
      <c r="G43" s="17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12.75">
      <c r="A44" s="10"/>
      <c r="B44" s="10"/>
      <c r="C44" s="10"/>
      <c r="D44" s="10"/>
      <c r="E44" s="10"/>
      <c r="F44" s="14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2:6" ht="12.75">
      <c r="B53" s="10"/>
      <c r="C53" s="10"/>
      <c r="D53" s="10"/>
      <c r="E53" s="10"/>
      <c r="F53" s="10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C33"/>
  <sheetViews>
    <sheetView zoomScalePageLayoutView="0" workbookViewId="0" topLeftCell="A4">
      <selection activeCell="E23" sqref="E23"/>
    </sheetView>
  </sheetViews>
  <sheetFormatPr defaultColWidth="9.140625" defaultRowHeight="12.75"/>
  <cols>
    <col min="2" max="2" width="30.00390625" style="0" customWidth="1"/>
    <col min="3" max="3" width="13.421875" style="0" customWidth="1"/>
  </cols>
  <sheetData>
    <row r="2" ht="13.5" thickBot="1"/>
    <row r="3" spans="2:3" ht="14.25" thickBot="1" thickTop="1">
      <c r="B3" s="231" t="s">
        <v>43</v>
      </c>
      <c r="C3" s="232"/>
    </row>
    <row r="4" spans="2:3" ht="27" thickBot="1" thickTop="1">
      <c r="B4" s="36" t="s">
        <v>1</v>
      </c>
      <c r="C4" s="37" t="s">
        <v>2</v>
      </c>
    </row>
    <row r="5" spans="2:3" ht="13.5" thickTop="1">
      <c r="B5" s="38" t="s">
        <v>3</v>
      </c>
      <c r="C5" s="39">
        <v>0.0015</v>
      </c>
    </row>
    <row r="6" spans="2:3" ht="12.75">
      <c r="B6" s="40" t="s">
        <v>4</v>
      </c>
      <c r="C6" s="41">
        <v>0.003</v>
      </c>
    </row>
    <row r="7" spans="2:3" ht="12.75">
      <c r="B7" s="40" t="s">
        <v>5</v>
      </c>
      <c r="C7" s="41">
        <v>0.013</v>
      </c>
    </row>
    <row r="8" spans="2:3" ht="12.75">
      <c r="B8" s="40" t="s">
        <v>6</v>
      </c>
      <c r="C8" s="41">
        <v>0.046</v>
      </c>
    </row>
    <row r="9" spans="2:3" ht="12.75">
      <c r="B9" s="40" t="s">
        <v>7</v>
      </c>
      <c r="C9" s="41">
        <v>2.5</v>
      </c>
    </row>
    <row r="10" spans="2:3" ht="12.75">
      <c r="B10" s="40"/>
      <c r="C10" s="50"/>
    </row>
    <row r="11" spans="2:3" ht="12.75">
      <c r="B11" s="233" t="s">
        <v>8</v>
      </c>
      <c r="C11" s="234"/>
    </row>
    <row r="12" spans="2:3" ht="12.75">
      <c r="B12" s="45" t="s">
        <v>9</v>
      </c>
      <c r="C12" s="41">
        <v>10</v>
      </c>
    </row>
    <row r="13" spans="2:3" ht="12.75">
      <c r="B13" s="40" t="s">
        <v>10</v>
      </c>
      <c r="C13" s="46">
        <f>IF($C$12=10,999.73,IF($C$12=75,974.85,916.9))</f>
        <v>999.73</v>
      </c>
    </row>
    <row r="14" spans="2:3" ht="12.75">
      <c r="B14" s="40" t="s">
        <v>11</v>
      </c>
      <c r="C14" s="51">
        <f>IF($C$12=10,0.001306,IF($C$12=75,0.000378,0.000185))</f>
        <v>0.001306</v>
      </c>
    </row>
    <row r="15" spans="2:3" ht="13.5" thickBot="1">
      <c r="B15" s="42" t="s">
        <v>12</v>
      </c>
      <c r="C15" s="52">
        <f>C14/C13</f>
        <v>1.306352715233113E-06</v>
      </c>
    </row>
    <row r="16" ht="13.5" thickTop="1"/>
    <row r="17" ht="13.5" thickBot="1"/>
    <row r="18" spans="2:3" ht="14.25" thickBot="1" thickTop="1">
      <c r="B18" s="235" t="s">
        <v>0</v>
      </c>
      <c r="C18" s="236"/>
    </row>
    <row r="19" spans="2:3" ht="27" thickBot="1" thickTop="1">
      <c r="B19" s="36" t="s">
        <v>1</v>
      </c>
      <c r="C19" s="37" t="s">
        <v>2</v>
      </c>
    </row>
    <row r="20" spans="2:3" ht="13.5" thickTop="1">
      <c r="B20" s="38" t="s">
        <v>29</v>
      </c>
      <c r="C20" s="39">
        <v>0.15</v>
      </c>
    </row>
    <row r="21" spans="2:3" ht="12.75">
      <c r="B21" s="40" t="s">
        <v>30</v>
      </c>
      <c r="C21" s="41">
        <v>0.25</v>
      </c>
    </row>
    <row r="22" spans="2:3" ht="12.75">
      <c r="B22" s="40" t="s">
        <v>31</v>
      </c>
      <c r="C22" s="41">
        <v>0.075</v>
      </c>
    </row>
    <row r="23" spans="2:3" ht="12.75">
      <c r="B23" s="40" t="s">
        <v>32</v>
      </c>
      <c r="C23" s="41">
        <v>0.05</v>
      </c>
    </row>
    <row r="24" spans="2:3" ht="12.75">
      <c r="B24" s="40" t="s">
        <v>33</v>
      </c>
      <c r="C24" s="41">
        <v>0.005</v>
      </c>
    </row>
    <row r="25" spans="2:3" ht="12.75">
      <c r="B25" s="40" t="s">
        <v>34</v>
      </c>
      <c r="C25" s="41">
        <v>1.3</v>
      </c>
    </row>
    <row r="26" spans="2:3" ht="13.5" thickBot="1">
      <c r="B26" s="42" t="s">
        <v>35</v>
      </c>
      <c r="C26" s="43">
        <v>5</v>
      </c>
    </row>
    <row r="27" spans="2:3" ht="14.25" thickBot="1" thickTop="1">
      <c r="B27" s="9"/>
      <c r="C27" s="9"/>
    </row>
    <row r="28" spans="2:3" ht="14.25" thickBot="1" thickTop="1">
      <c r="B28" s="231" t="s">
        <v>36</v>
      </c>
      <c r="C28" s="232"/>
    </row>
    <row r="29" spans="2:3" ht="13.5" thickTop="1">
      <c r="B29" s="44" t="s">
        <v>9</v>
      </c>
      <c r="C29" s="48">
        <v>20</v>
      </c>
    </row>
    <row r="30" spans="2:3" ht="12.75">
      <c r="B30" s="45" t="s">
        <v>37</v>
      </c>
      <c r="C30" s="49">
        <v>101.325</v>
      </c>
    </row>
    <row r="31" spans="2:3" ht="12.75">
      <c r="B31" s="40" t="s">
        <v>10</v>
      </c>
      <c r="C31" s="46">
        <f>1.2*($C$30/101.325)*(293/(273+$C$29))</f>
        <v>1.2</v>
      </c>
    </row>
    <row r="32" spans="2:3" ht="12.75">
      <c r="B32" s="40" t="s">
        <v>11</v>
      </c>
      <c r="C32" s="41">
        <v>1.8E-05</v>
      </c>
    </row>
    <row r="33" spans="2:3" ht="13.5" thickBot="1">
      <c r="B33" s="42" t="s">
        <v>12</v>
      </c>
      <c r="C33" s="47">
        <f>C32/C31</f>
        <v>1.5E-05</v>
      </c>
    </row>
    <row r="34" ht="13.5" thickTop="1"/>
  </sheetData>
  <sheetProtection/>
  <mergeCells count="4">
    <mergeCell ref="B3:C3"/>
    <mergeCell ref="B11:C11"/>
    <mergeCell ref="B18:C18"/>
    <mergeCell ref="B28:C28"/>
  </mergeCells>
  <dataValidations count="1">
    <dataValidation type="list" allowBlank="1" showInputMessage="1" showErrorMessage="1" sqref="C12">
      <formula1>"10, 75, 150"</formula1>
    </dataValidation>
  </dataValidation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ove arup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mathew howe</dc:creator>
  <cp:keywords/>
  <dc:description/>
  <cp:lastModifiedBy>my cdb</cp:lastModifiedBy>
  <cp:lastPrinted>2015-10-05T11:21:44Z</cp:lastPrinted>
  <dcterms:created xsi:type="dcterms:W3CDTF">2002-01-31T15:17:57Z</dcterms:created>
  <dcterms:modified xsi:type="dcterms:W3CDTF">2016-03-01T09:05:45Z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